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C:\Users\MB\Documents\brew\recipes\"/>
    </mc:Choice>
  </mc:AlternateContent>
  <xr:revisionPtr revIDLastSave="0" documentId="12_ncr:500000_{8DE4E963-AA80-4B91-86ED-1D154ABB266A}" xr6:coauthVersionLast="31" xr6:coauthVersionMax="31" xr10:uidLastSave="{00000000-0000-0000-0000-000000000000}"/>
  <workbookProtection workbookPassword="8E23" lockStructure="1"/>
  <bookViews>
    <workbookView xWindow="0" yWindow="0" windowWidth="28800" windowHeight="13695" tabRatio="878" activeTab="6" xr2:uid="{00000000-000D-0000-FFFF-FFFF00000000}"/>
  </bookViews>
  <sheets>
    <sheet name="Introduction" sheetId="11" r:id="rId1"/>
    <sheet name="Brewhouse" sheetId="1" r:id="rId2"/>
    <sheet name="Recipe" sheetId="2" r:id="rId3"/>
    <sheet name="Water" sheetId="17" r:id="rId4"/>
    <sheet name="Refractometer" sheetId="25" r:id="rId5"/>
    <sheet name="SG Correction" sheetId="29" r:id="rId6"/>
    <sheet name="BrewDay Print Me" sheetId="14" r:id="rId7"/>
    <sheet name="Carbonation" sheetId="28" r:id="rId8"/>
    <sheet name="Mash Efficiency Predictor" sheetId="21" r:id="rId9"/>
    <sheet name="NotePad" sheetId="23" r:id="rId10"/>
    <sheet name="GRAINLOOKUP" sheetId="5" r:id="rId11"/>
    <sheet name="HOPLOOKUP" sheetId="4" r:id="rId12"/>
    <sheet name="YEASTLOOKUP" sheetId="6" r:id="rId13"/>
    <sheet name="GravCalcs" sheetId="7" state="hidden" r:id="rId14"/>
    <sheet name="Total H2O Sub" sheetId="8" state="hidden" r:id="rId15"/>
    <sheet name="HopCalc" sheetId="9" state="hidden" r:id="rId16"/>
    <sheet name="H20 Temps Sub" sheetId="10" state="hidden" r:id="rId17"/>
    <sheet name="O2andLagerCalc" sheetId="12" state="hidden" r:id="rId18"/>
    <sheet name="STYLES" sheetId="13" state="hidden" r:id="rId19"/>
    <sheet name="Mash_Chem" sheetId="15" state="hidden" r:id="rId20"/>
    <sheet name="Kettle_Chem" sheetId="16" state="hidden" r:id="rId21"/>
    <sheet name="H2ORecCross" sheetId="18" state="hidden" r:id="rId22"/>
    <sheet name="H2ORecScratch" sheetId="19" state="hidden" r:id="rId23"/>
    <sheet name="H2ORecs" sheetId="20" state="hidden" r:id="rId24"/>
    <sheet name="Yeast" sheetId="22" state="hidden" r:id="rId25"/>
    <sheet name="Sparge_Acidification" sheetId="24" state="hidden" r:id="rId26"/>
    <sheet name="H20RecCross2" sheetId="26" state="hidden" r:id="rId27"/>
    <sheet name="UserH20Profiles" sheetId="27" r:id="rId28"/>
  </sheets>
  <definedNames>
    <definedName name="Drange">GravCalcs!$B$33:$B$36</definedName>
    <definedName name="Grange">GravCalcs!$A$27:$A$28</definedName>
    <definedName name="Hrange">GravCalcs!$B$30:$B$31</definedName>
    <definedName name="Irange">GravCalcs!$A$30:$A$31</definedName>
    <definedName name="Lrange">GravCalcs!$A$33:$A$36</definedName>
    <definedName name="MashTempLookup">GRAINLOOKUP!$G$32:$G$46</definedName>
    <definedName name="MashTime">GRAINLOOKUP!$J$32:$J$35</definedName>
    <definedName name="Mrange">GravCalcs!$B$24:$B$25</definedName>
    <definedName name="_xlnm.Print_Area" localSheetId="6">'BrewDay Print Me'!$A$1:$L$63</definedName>
    <definedName name="QRange">GravCalcs!$A$24:$A$25</definedName>
    <definedName name="SpargeType">'Mash Efficiency Predictor'!$J$3:$K$4</definedName>
    <definedName name="Srange">GravCalcs!$A$38:$A$40</definedName>
    <definedName name="ValidCross">H20RecCross2!$A$1:$B$300</definedName>
    <definedName name="ValidGrains">GRAINLOOKUP!$A$2:$A$200</definedName>
    <definedName name="ValidHops">HOPLOOKUP!$A$2:$A$100</definedName>
    <definedName name="ValidLines">Carbonation!$AA$15:$AA$22</definedName>
    <definedName name="ValidMashTimes">GravCalcs!$J$33:$J$39</definedName>
    <definedName name="ValidStyles">STYLES!$A$2:$A$179</definedName>
    <definedName name="ValidWaters">H2ORecScratch!$C$1:$C$200</definedName>
    <definedName name="ValidYeast">YEASTLOOKUP!$A$2:$A$120</definedName>
    <definedName name="ViabilityOverrideDropdown">Yeast!$A$54:$A$154</definedName>
    <definedName name="Yrange">GravCalcs!$B$27:$B$28</definedName>
  </definedNames>
  <calcPr calcId="162913"/>
  <fileRecoveryPr repairLoad="1"/>
</workbook>
</file>

<file path=xl/calcChain.xml><?xml version="1.0" encoding="utf-8"?>
<calcChain xmlns="http://schemas.openxmlformats.org/spreadsheetml/2006/main">
  <c r="P14" i="2" l="1"/>
  <c r="P13" i="2"/>
  <c r="AJ14" i="2" l="1"/>
  <c r="AJ15" i="2"/>
  <c r="AJ16" i="2"/>
  <c r="AJ13" i="2"/>
  <c r="I35" i="14" l="1"/>
  <c r="A17" i="14" l="1"/>
  <c r="B50" i="14" l="1"/>
  <c r="O26" i="28" l="1"/>
  <c r="AE17" i="28"/>
  <c r="U26" i="28"/>
  <c r="AD15" i="28"/>
  <c r="AF15" i="28" s="1"/>
  <c r="AA39" i="2"/>
  <c r="X39" i="2"/>
  <c r="H44" i="8"/>
  <c r="H43" i="8"/>
  <c r="J43" i="8"/>
  <c r="H42" i="8"/>
  <c r="H41" i="8"/>
  <c r="J41" i="8" s="1"/>
  <c r="H40" i="8"/>
  <c r="H39" i="8"/>
  <c r="H38" i="8"/>
  <c r="K38" i="8"/>
  <c r="H37" i="8"/>
  <c r="H36" i="8"/>
  <c r="J36" i="8" s="1"/>
  <c r="H35" i="8"/>
  <c r="K35" i="8" s="1"/>
  <c r="H34" i="8"/>
  <c r="J34" i="8" s="1"/>
  <c r="H33" i="8"/>
  <c r="K33" i="8" s="1"/>
  <c r="H32" i="8"/>
  <c r="J32" i="8" s="1"/>
  <c r="H31" i="8"/>
  <c r="J31" i="8" s="1"/>
  <c r="L31" i="8" s="1"/>
  <c r="K43" i="8"/>
  <c r="K41" i="8"/>
  <c r="K36" i="8"/>
  <c r="K31" i="8"/>
  <c r="M22" i="8"/>
  <c r="F13" i="14"/>
  <c r="O4" i="1"/>
  <c r="K5" i="21"/>
  <c r="D14" i="8"/>
  <c r="C9" i="21" s="1"/>
  <c r="H10" i="1"/>
  <c r="H7" i="1"/>
  <c r="B200" i="26"/>
  <c r="B199" i="26"/>
  <c r="B198" i="26"/>
  <c r="B197" i="26"/>
  <c r="B196" i="26"/>
  <c r="B195" i="26"/>
  <c r="B194" i="26"/>
  <c r="B193" i="26"/>
  <c r="B192" i="26"/>
  <c r="B191" i="26"/>
  <c r="B190" i="26"/>
  <c r="B189" i="26"/>
  <c r="B188" i="26"/>
  <c r="B187" i="26"/>
  <c r="B186" i="26"/>
  <c r="B185" i="26"/>
  <c r="B184" i="26"/>
  <c r="B183" i="26"/>
  <c r="B182" i="26"/>
  <c r="B181" i="26"/>
  <c r="B180" i="26"/>
  <c r="B179" i="26"/>
  <c r="B178" i="26"/>
  <c r="B177" i="26"/>
  <c r="B176" i="26"/>
  <c r="B175" i="26"/>
  <c r="B174" i="26"/>
  <c r="B173" i="26"/>
  <c r="B172" i="26"/>
  <c r="B171" i="26"/>
  <c r="B170" i="26"/>
  <c r="B169" i="26"/>
  <c r="B168" i="26"/>
  <c r="B167" i="26"/>
  <c r="B166" i="26"/>
  <c r="B165" i="26"/>
  <c r="B164" i="26"/>
  <c r="B163" i="26"/>
  <c r="B162" i="26"/>
  <c r="B161" i="26"/>
  <c r="B160" i="26"/>
  <c r="B159" i="26"/>
  <c r="B158" i="26"/>
  <c r="B157" i="26"/>
  <c r="B156" i="26"/>
  <c r="B155" i="26"/>
  <c r="B154" i="26"/>
  <c r="B153" i="26"/>
  <c r="B152" i="26"/>
  <c r="B151" i="26"/>
  <c r="B150" i="26"/>
  <c r="B149" i="26"/>
  <c r="B148" i="26"/>
  <c r="B147" i="26"/>
  <c r="B146" i="26"/>
  <c r="B145" i="26"/>
  <c r="B144" i="26"/>
  <c r="B143" i="26"/>
  <c r="B142" i="26"/>
  <c r="B141" i="26"/>
  <c r="B140" i="26"/>
  <c r="B139" i="26"/>
  <c r="B138" i="26"/>
  <c r="B137" i="26"/>
  <c r="B136" i="26"/>
  <c r="B135" i="26"/>
  <c r="B134" i="26"/>
  <c r="B133" i="26"/>
  <c r="B132" i="26"/>
  <c r="B131" i="26"/>
  <c r="B130" i="26"/>
  <c r="B129" i="26"/>
  <c r="B128" i="26"/>
  <c r="B127" i="26"/>
  <c r="B126" i="26"/>
  <c r="B125" i="26"/>
  <c r="B124" i="26"/>
  <c r="B123" i="26"/>
  <c r="B122" i="26"/>
  <c r="B121" i="26"/>
  <c r="B120" i="26"/>
  <c r="B119" i="26"/>
  <c r="B118" i="26"/>
  <c r="B117" i="26"/>
  <c r="B116" i="26"/>
  <c r="B115" i="26"/>
  <c r="B114" i="26"/>
  <c r="B113" i="26"/>
  <c r="B112" i="26"/>
  <c r="B111" i="26"/>
  <c r="B110" i="26"/>
  <c r="B109" i="26"/>
  <c r="B108" i="26"/>
  <c r="B107" i="26"/>
  <c r="B106" i="26"/>
  <c r="B105" i="26"/>
  <c r="B104" i="26"/>
  <c r="B103" i="26"/>
  <c r="B102" i="26"/>
  <c r="B101" i="26"/>
  <c r="B100" i="26"/>
  <c r="B99" i="26"/>
  <c r="B98" i="26"/>
  <c r="B97" i="26"/>
  <c r="B96" i="26"/>
  <c r="B95" i="26"/>
  <c r="B94" i="26"/>
  <c r="B93" i="26"/>
  <c r="B92" i="26"/>
  <c r="B91" i="26"/>
  <c r="B90" i="26"/>
  <c r="B89" i="26"/>
  <c r="B88" i="26"/>
  <c r="B87" i="26"/>
  <c r="B86" i="26"/>
  <c r="B85" i="26"/>
  <c r="A200" i="26"/>
  <c r="A199" i="26"/>
  <c r="A198" i="26"/>
  <c r="A197" i="26"/>
  <c r="A196" i="26"/>
  <c r="A195" i="26"/>
  <c r="A194" i="26"/>
  <c r="A193" i="26"/>
  <c r="A192" i="26"/>
  <c r="A191" i="26"/>
  <c r="A190" i="26"/>
  <c r="A189" i="26"/>
  <c r="A188" i="26"/>
  <c r="A187" i="26"/>
  <c r="A186" i="26"/>
  <c r="A185" i="26"/>
  <c r="A184" i="26"/>
  <c r="A183" i="26"/>
  <c r="A182" i="26"/>
  <c r="A181" i="26"/>
  <c r="A180" i="26"/>
  <c r="A179" i="26"/>
  <c r="A178" i="26"/>
  <c r="A177" i="26"/>
  <c r="A176" i="26"/>
  <c r="A175" i="26"/>
  <c r="A174" i="26"/>
  <c r="A173" i="26"/>
  <c r="A172" i="26"/>
  <c r="A171" i="26"/>
  <c r="A170" i="26"/>
  <c r="A169" i="26"/>
  <c r="A168" i="26"/>
  <c r="A167" i="26"/>
  <c r="A166" i="26"/>
  <c r="A165" i="26"/>
  <c r="A164" i="26"/>
  <c r="A163" i="26"/>
  <c r="A162" i="26"/>
  <c r="A161" i="26"/>
  <c r="A160" i="26"/>
  <c r="A159" i="26"/>
  <c r="A158" i="26"/>
  <c r="A157" i="26"/>
  <c r="A156" i="26"/>
  <c r="A155" i="26"/>
  <c r="A154" i="26"/>
  <c r="A153" i="26"/>
  <c r="A152" i="26"/>
  <c r="A151" i="26"/>
  <c r="A150" i="26"/>
  <c r="A149" i="26"/>
  <c r="A148" i="26"/>
  <c r="A147" i="26"/>
  <c r="A146" i="26"/>
  <c r="A145" i="26"/>
  <c r="A144" i="26"/>
  <c r="A143" i="26"/>
  <c r="A142" i="26"/>
  <c r="A141" i="26"/>
  <c r="A140" i="26"/>
  <c r="A139" i="26"/>
  <c r="A138" i="26"/>
  <c r="A137" i="26"/>
  <c r="A136" i="26"/>
  <c r="A135" i="26"/>
  <c r="A134" i="26"/>
  <c r="A133" i="26"/>
  <c r="A132" i="26"/>
  <c r="A131" i="26"/>
  <c r="A130" i="26"/>
  <c r="A129" i="26"/>
  <c r="A128" i="26"/>
  <c r="A127" i="26"/>
  <c r="A126" i="26"/>
  <c r="A125" i="26"/>
  <c r="A124" i="26"/>
  <c r="A123" i="26"/>
  <c r="A122" i="26"/>
  <c r="A121" i="26"/>
  <c r="A120" i="26"/>
  <c r="A119" i="26"/>
  <c r="A118" i="26"/>
  <c r="A117" i="26"/>
  <c r="A116" i="26"/>
  <c r="A115" i="26"/>
  <c r="A114" i="26"/>
  <c r="A113" i="26"/>
  <c r="A112" i="26"/>
  <c r="A111" i="26"/>
  <c r="A110" i="26"/>
  <c r="A109" i="26"/>
  <c r="A108" i="26"/>
  <c r="A107" i="26"/>
  <c r="A106" i="26"/>
  <c r="A105" i="26"/>
  <c r="A104" i="26"/>
  <c r="A103" i="26"/>
  <c r="A102" i="26"/>
  <c r="A101" i="26"/>
  <c r="A100" i="26"/>
  <c r="A99" i="26"/>
  <c r="A98" i="26"/>
  <c r="A97" i="26"/>
  <c r="A96" i="26"/>
  <c r="A95" i="26"/>
  <c r="A94" i="26"/>
  <c r="A93" i="26"/>
  <c r="A92" i="26"/>
  <c r="A91" i="26"/>
  <c r="A90" i="26"/>
  <c r="A89" i="26"/>
  <c r="A88" i="26"/>
  <c r="A87" i="26"/>
  <c r="A86" i="26"/>
  <c r="A85" i="26"/>
  <c r="N5" i="29"/>
  <c r="N11" i="29"/>
  <c r="L6" i="29"/>
  <c r="N6" i="29"/>
  <c r="L5" i="29"/>
  <c r="N4" i="29"/>
  <c r="L4" i="29"/>
  <c r="B8" i="29"/>
  <c r="B6" i="29"/>
  <c r="B5" i="29"/>
  <c r="B4" i="29"/>
  <c r="AF27" i="2"/>
  <c r="AF36" i="2"/>
  <c r="AF35" i="2"/>
  <c r="AF34" i="2"/>
  <c r="AF33" i="2"/>
  <c r="AF32" i="2"/>
  <c r="AC34" i="2"/>
  <c r="AF26" i="2"/>
  <c r="AF25" i="2"/>
  <c r="AF24" i="2"/>
  <c r="AF23" i="2"/>
  <c r="AF22" i="2"/>
  <c r="AF21" i="2"/>
  <c r="AF20" i="2"/>
  <c r="AF19" i="2"/>
  <c r="AF18" i="2"/>
  <c r="AF17" i="2"/>
  <c r="AF16" i="2"/>
  <c r="AF15" i="2"/>
  <c r="AF14" i="2"/>
  <c r="AC15" i="2"/>
  <c r="J17" i="14"/>
  <c r="J16" i="14"/>
  <c r="F24" i="14" s="1"/>
  <c r="I23" i="14"/>
  <c r="I22" i="14"/>
  <c r="I21" i="14"/>
  <c r="I20" i="14"/>
  <c r="I19" i="14"/>
  <c r="I18" i="14"/>
  <c r="H23" i="14"/>
  <c r="H22" i="14"/>
  <c r="H21" i="14"/>
  <c r="H20" i="14"/>
  <c r="H19" i="14"/>
  <c r="H18" i="14"/>
  <c r="F23" i="14"/>
  <c r="F22" i="14"/>
  <c r="F21" i="14"/>
  <c r="F20" i="14"/>
  <c r="F19" i="14"/>
  <c r="F18" i="14"/>
  <c r="I52" i="2"/>
  <c r="I51" i="2"/>
  <c r="D8" i="9"/>
  <c r="F18" i="9"/>
  <c r="M18" i="9" s="1"/>
  <c r="X18" i="9" s="1"/>
  <c r="F17" i="9"/>
  <c r="F16" i="9"/>
  <c r="F15" i="9"/>
  <c r="F14" i="9"/>
  <c r="F13" i="9"/>
  <c r="V13" i="9" s="1"/>
  <c r="F12" i="9"/>
  <c r="M12" i="9" s="1"/>
  <c r="X12" i="9" s="1"/>
  <c r="F11" i="9"/>
  <c r="F10" i="9"/>
  <c r="M10" i="9" s="1"/>
  <c r="X10" i="9" s="1"/>
  <c r="F9" i="9"/>
  <c r="F8" i="9"/>
  <c r="M8" i="9" s="1"/>
  <c r="X8" i="9" s="1"/>
  <c r="F7" i="9"/>
  <c r="M7" i="9" s="1"/>
  <c r="X7" i="9" s="1"/>
  <c r="F6" i="9"/>
  <c r="V6" i="9" s="1"/>
  <c r="F5" i="9"/>
  <c r="F4" i="9"/>
  <c r="M4" i="9" s="1"/>
  <c r="X4" i="9" s="1"/>
  <c r="Y4" i="9" s="1"/>
  <c r="D52" i="2"/>
  <c r="D51" i="2"/>
  <c r="B4" i="8"/>
  <c r="D17" i="8" s="1"/>
  <c r="H5" i="2"/>
  <c r="C4" i="9"/>
  <c r="W9" i="2"/>
  <c r="D6" i="21"/>
  <c r="G10" i="25"/>
  <c r="G8" i="25"/>
  <c r="C7" i="25"/>
  <c r="B54" i="2"/>
  <c r="AA44" i="2"/>
  <c r="AA43" i="2"/>
  <c r="AA42" i="2"/>
  <c r="V28" i="2"/>
  <c r="D28" i="2"/>
  <c r="L5" i="9"/>
  <c r="H5" i="9" s="1"/>
  <c r="L28" i="9"/>
  <c r="F28" i="9"/>
  <c r="E28" i="9"/>
  <c r="L27" i="9"/>
  <c r="F27" i="9"/>
  <c r="E27" i="9" s="1"/>
  <c r="L26" i="9"/>
  <c r="F26" i="9"/>
  <c r="E26" i="9" s="1"/>
  <c r="L25" i="9"/>
  <c r="F25" i="9"/>
  <c r="E25" i="9" s="1"/>
  <c r="L24" i="9"/>
  <c r="F24" i="9"/>
  <c r="E24" i="9" s="1"/>
  <c r="L18" i="9"/>
  <c r="H18" i="9" s="1"/>
  <c r="L17" i="9"/>
  <c r="H17" i="9" s="1"/>
  <c r="L16" i="9"/>
  <c r="L15" i="9"/>
  <c r="L14" i="9"/>
  <c r="L13" i="9"/>
  <c r="L12" i="9"/>
  <c r="L11" i="9"/>
  <c r="L10" i="9"/>
  <c r="L9" i="9"/>
  <c r="L8" i="9"/>
  <c r="L7" i="9"/>
  <c r="L6" i="9"/>
  <c r="G6" i="7"/>
  <c r="I35" i="8" s="1"/>
  <c r="G5" i="7"/>
  <c r="I34" i="8" s="1"/>
  <c r="G4" i="7"/>
  <c r="I33" i="8" s="1"/>
  <c r="G3" i="7"/>
  <c r="I32" i="8" s="1"/>
  <c r="G2" i="7"/>
  <c r="I31" i="8" s="1"/>
  <c r="G16" i="7"/>
  <c r="G15" i="7"/>
  <c r="I44" i="8" s="1"/>
  <c r="G14" i="7"/>
  <c r="I43" i="8" s="1"/>
  <c r="G13" i="7"/>
  <c r="J13" i="7" s="1"/>
  <c r="G12" i="7"/>
  <c r="I41" i="8" s="1"/>
  <c r="G11" i="7"/>
  <c r="F11" i="7" s="1"/>
  <c r="G10" i="7"/>
  <c r="G9" i="7"/>
  <c r="I38" i="8" s="1"/>
  <c r="G8" i="7"/>
  <c r="I37" i="8" s="1"/>
  <c r="G7" i="7"/>
  <c r="I36" i="8" s="1"/>
  <c r="H26" i="2"/>
  <c r="H25" i="2"/>
  <c r="H24" i="2"/>
  <c r="H23" i="2"/>
  <c r="H22" i="2"/>
  <c r="H21" i="2"/>
  <c r="H20" i="2"/>
  <c r="H19" i="2"/>
  <c r="H18" i="2"/>
  <c r="H17" i="2"/>
  <c r="H16" i="2"/>
  <c r="H15" i="2"/>
  <c r="H14" i="2"/>
  <c r="H13" i="2"/>
  <c r="E67" i="15"/>
  <c r="A21" i="10"/>
  <c r="A45" i="10"/>
  <c r="A41" i="10"/>
  <c r="A40" i="10"/>
  <c r="D16" i="8"/>
  <c r="G8" i="8"/>
  <c r="B24" i="8"/>
  <c r="D19" i="8"/>
  <c r="D5" i="21"/>
  <c r="C15" i="21"/>
  <c r="D10" i="21"/>
  <c r="D9" i="21"/>
  <c r="D8" i="21"/>
  <c r="D7" i="21"/>
  <c r="K6" i="21"/>
  <c r="C26" i="28"/>
  <c r="AC23" i="28"/>
  <c r="I11" i="28"/>
  <c r="AG10" i="28"/>
  <c r="AG11" i="28"/>
  <c r="AA9" i="28" s="1"/>
  <c r="AC9" i="28" s="1"/>
  <c r="AG9" i="28"/>
  <c r="I8" i="28"/>
  <c r="C8" i="28"/>
  <c r="A9" i="14"/>
  <c r="G45" i="14"/>
  <c r="G37" i="14"/>
  <c r="C37" i="14"/>
  <c r="AC38" i="17"/>
  <c r="U26" i="17"/>
  <c r="M7" i="17"/>
  <c r="S3" i="17"/>
  <c r="W3" i="17" s="1"/>
  <c r="M47" i="2"/>
  <c r="M49" i="2" s="1"/>
  <c r="M46" i="2"/>
  <c r="J46" i="2"/>
  <c r="H46" i="2"/>
  <c r="H49" i="2"/>
  <c r="F31" i="2"/>
  <c r="M12" i="2"/>
  <c r="H12" i="2"/>
  <c r="B12" i="2"/>
  <c r="M5" i="2"/>
  <c r="H2" i="2"/>
  <c r="B2" i="2"/>
  <c r="D9" i="22"/>
  <c r="E3" i="22"/>
  <c r="E2" i="22"/>
  <c r="D7" i="22"/>
  <c r="B3" i="22"/>
  <c r="D8" i="22"/>
  <c r="B11" i="22"/>
  <c r="B12" i="22"/>
  <c r="B10" i="22"/>
  <c r="B23" i="22"/>
  <c r="B41" i="22" s="1"/>
  <c r="L16" i="8"/>
  <c r="L15" i="8"/>
  <c r="D15" i="8" s="1"/>
  <c r="H16" i="1"/>
  <c r="AA7" i="1"/>
  <c r="V7" i="1"/>
  <c r="O7" i="1"/>
  <c r="AA4" i="1"/>
  <c r="V4" i="1"/>
  <c r="H4" i="1"/>
  <c r="C7" i="1"/>
  <c r="C4" i="1"/>
  <c r="AB10" i="28"/>
  <c r="F10" i="14"/>
  <c r="G59" i="14"/>
  <c r="A57" i="14"/>
  <c r="I50" i="14"/>
  <c r="I49" i="14"/>
  <c r="I48" i="14"/>
  <c r="I47" i="14"/>
  <c r="H50" i="14"/>
  <c r="H49" i="14"/>
  <c r="H48" i="14"/>
  <c r="H47" i="14"/>
  <c r="I46" i="14"/>
  <c r="H46" i="14"/>
  <c r="A32" i="14"/>
  <c r="A27" i="14"/>
  <c r="B2" i="26"/>
  <c r="B3" i="26"/>
  <c r="B4" i="26"/>
  <c r="B5" i="26"/>
  <c r="B6" i="26"/>
  <c r="B7" i="26"/>
  <c r="B8" i="26"/>
  <c r="B9" i="26"/>
  <c r="B10" i="26"/>
  <c r="B11" i="26"/>
  <c r="B12" i="26"/>
  <c r="B13" i="26"/>
  <c r="B14" i="26"/>
  <c r="B15" i="26"/>
  <c r="B16" i="26"/>
  <c r="B17" i="26"/>
  <c r="B18" i="26"/>
  <c r="B19" i="26"/>
  <c r="B20" i="26"/>
  <c r="B21" i="26"/>
  <c r="B22" i="26"/>
  <c r="B23" i="26"/>
  <c r="B24" i="26"/>
  <c r="B25" i="26"/>
  <c r="B26" i="26"/>
  <c r="B1" i="26"/>
  <c r="G197" i="20"/>
  <c r="G198" i="20"/>
  <c r="G199" i="20"/>
  <c r="G200" i="20"/>
  <c r="F196" i="20"/>
  <c r="F197" i="20"/>
  <c r="F198" i="20"/>
  <c r="F199" i="20"/>
  <c r="F200" i="20"/>
  <c r="E197" i="20"/>
  <c r="E198" i="20"/>
  <c r="E199" i="20"/>
  <c r="E200" i="20"/>
  <c r="D198" i="20"/>
  <c r="D199" i="20"/>
  <c r="D200" i="20"/>
  <c r="C198" i="20"/>
  <c r="C199" i="20"/>
  <c r="C200" i="20"/>
  <c r="A199" i="20"/>
  <c r="A200" i="20"/>
  <c r="B199" i="20"/>
  <c r="B200" i="20"/>
  <c r="G102" i="20"/>
  <c r="G103" i="20"/>
  <c r="F102" i="20"/>
  <c r="F103" i="20"/>
  <c r="E102" i="20"/>
  <c r="E103" i="20"/>
  <c r="D102" i="20"/>
  <c r="D103" i="20"/>
  <c r="C102" i="20"/>
  <c r="C103" i="20"/>
  <c r="B102" i="20"/>
  <c r="B103" i="20"/>
  <c r="A102" i="20"/>
  <c r="A103" i="20"/>
  <c r="B299" i="26"/>
  <c r="A299" i="26" s="1"/>
  <c r="B300" i="26"/>
  <c r="A300" i="26" s="1"/>
  <c r="B202" i="26"/>
  <c r="A202" i="26" s="1"/>
  <c r="B203" i="26"/>
  <c r="A203" i="26" s="1"/>
  <c r="G104" i="20"/>
  <c r="G105" i="20"/>
  <c r="G106" i="20"/>
  <c r="G107" i="20"/>
  <c r="G108" i="20"/>
  <c r="G109" i="20"/>
  <c r="G110" i="20"/>
  <c r="G111" i="20"/>
  <c r="G112" i="20"/>
  <c r="G113" i="20"/>
  <c r="G114" i="20"/>
  <c r="G115" i="20"/>
  <c r="G116" i="20"/>
  <c r="G117" i="20"/>
  <c r="G118" i="20"/>
  <c r="G119" i="20"/>
  <c r="G120" i="20"/>
  <c r="G121" i="20"/>
  <c r="G122" i="20"/>
  <c r="G123" i="20"/>
  <c r="G124" i="20"/>
  <c r="G125" i="20"/>
  <c r="G126" i="20"/>
  <c r="G127" i="20"/>
  <c r="G128" i="20"/>
  <c r="G129" i="20"/>
  <c r="G130" i="20"/>
  <c r="G131" i="20"/>
  <c r="G132" i="20"/>
  <c r="G133" i="20"/>
  <c r="G134" i="20"/>
  <c r="G135" i="20"/>
  <c r="G136" i="20"/>
  <c r="G137" i="20"/>
  <c r="G138" i="20"/>
  <c r="G139" i="20"/>
  <c r="G140" i="20"/>
  <c r="G141" i="20"/>
  <c r="G142" i="20"/>
  <c r="G143" i="20"/>
  <c r="G144" i="20"/>
  <c r="G145" i="20"/>
  <c r="G146" i="20"/>
  <c r="G147" i="20"/>
  <c r="G148" i="20"/>
  <c r="G149" i="20"/>
  <c r="G150" i="20"/>
  <c r="G151" i="20"/>
  <c r="G152" i="20"/>
  <c r="G153" i="20"/>
  <c r="G154" i="20"/>
  <c r="G155" i="20"/>
  <c r="G156" i="20"/>
  <c r="G157" i="20"/>
  <c r="G158" i="20"/>
  <c r="G159" i="20"/>
  <c r="G160" i="20"/>
  <c r="G161" i="20"/>
  <c r="G162" i="20"/>
  <c r="G163" i="20"/>
  <c r="G164" i="20"/>
  <c r="G165" i="20"/>
  <c r="G166" i="20"/>
  <c r="G167" i="20"/>
  <c r="G168" i="20"/>
  <c r="G169" i="20"/>
  <c r="G170" i="20"/>
  <c r="G171" i="20"/>
  <c r="G172" i="20"/>
  <c r="G173" i="20"/>
  <c r="G174" i="20"/>
  <c r="G175" i="20"/>
  <c r="G176" i="20"/>
  <c r="G177" i="20"/>
  <c r="G178" i="20"/>
  <c r="G179" i="20"/>
  <c r="G180" i="20"/>
  <c r="G181" i="20"/>
  <c r="G182" i="20"/>
  <c r="G183" i="20"/>
  <c r="G184" i="20"/>
  <c r="G185" i="20"/>
  <c r="G186" i="20"/>
  <c r="G187" i="20"/>
  <c r="G188" i="20"/>
  <c r="G189" i="20"/>
  <c r="G190" i="20"/>
  <c r="G191" i="20"/>
  <c r="G192" i="20"/>
  <c r="G193" i="20"/>
  <c r="G194" i="20"/>
  <c r="G195" i="20"/>
  <c r="G196" i="20"/>
  <c r="F104" i="20"/>
  <c r="F105" i="20"/>
  <c r="F106" i="20"/>
  <c r="F107" i="20"/>
  <c r="F108" i="20"/>
  <c r="F109" i="20"/>
  <c r="F110" i="20"/>
  <c r="F111" i="20"/>
  <c r="F112" i="20"/>
  <c r="F113" i="20"/>
  <c r="F114" i="20"/>
  <c r="F115" i="20"/>
  <c r="F116" i="20"/>
  <c r="F117" i="20"/>
  <c r="F118" i="20"/>
  <c r="F119" i="20"/>
  <c r="F120" i="20"/>
  <c r="F121" i="20"/>
  <c r="F122" i="20"/>
  <c r="F123" i="20"/>
  <c r="F124" i="20"/>
  <c r="F125" i="20"/>
  <c r="F126" i="20"/>
  <c r="F127" i="20"/>
  <c r="F128" i="20"/>
  <c r="F129" i="20"/>
  <c r="F130" i="20"/>
  <c r="F131" i="20"/>
  <c r="F132" i="20"/>
  <c r="F133" i="20"/>
  <c r="F134" i="20"/>
  <c r="F135" i="20"/>
  <c r="F136" i="20"/>
  <c r="F137" i="20"/>
  <c r="F138" i="20"/>
  <c r="F139" i="20"/>
  <c r="F140" i="20"/>
  <c r="F141" i="20"/>
  <c r="F142" i="20"/>
  <c r="F143" i="20"/>
  <c r="F144" i="20"/>
  <c r="F145" i="20"/>
  <c r="F146" i="20"/>
  <c r="F147" i="20"/>
  <c r="F148" i="20"/>
  <c r="F149" i="20"/>
  <c r="F150" i="20"/>
  <c r="F151" i="20"/>
  <c r="F152" i="20"/>
  <c r="F153" i="20"/>
  <c r="F154" i="20"/>
  <c r="F155" i="20"/>
  <c r="F156" i="20"/>
  <c r="F157" i="20"/>
  <c r="F158" i="20"/>
  <c r="F159" i="20"/>
  <c r="F160" i="20"/>
  <c r="F161" i="20"/>
  <c r="F162" i="20"/>
  <c r="F163" i="20"/>
  <c r="F164" i="20"/>
  <c r="F165" i="20"/>
  <c r="F166" i="20"/>
  <c r="F167" i="20"/>
  <c r="F168" i="20"/>
  <c r="F169" i="20"/>
  <c r="F170" i="20"/>
  <c r="F171" i="20"/>
  <c r="F172" i="20"/>
  <c r="F173" i="20"/>
  <c r="F174" i="20"/>
  <c r="F175" i="20"/>
  <c r="F176" i="20"/>
  <c r="F177" i="20"/>
  <c r="F178" i="20"/>
  <c r="F179" i="20"/>
  <c r="F180" i="20"/>
  <c r="F181" i="20"/>
  <c r="F182" i="20"/>
  <c r="F183" i="20"/>
  <c r="F184" i="20"/>
  <c r="F185" i="20"/>
  <c r="F186" i="20"/>
  <c r="F187" i="20"/>
  <c r="F188" i="20"/>
  <c r="F189" i="20"/>
  <c r="F190" i="20"/>
  <c r="F191" i="20"/>
  <c r="F192" i="20"/>
  <c r="F193" i="20"/>
  <c r="F194" i="20"/>
  <c r="F195"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D104" i="20"/>
  <c r="D105" i="20"/>
  <c r="D106" i="20"/>
  <c r="D107" i="20"/>
  <c r="D108" i="20"/>
  <c r="D109" i="20"/>
  <c r="D110" i="20"/>
  <c r="D111" i="20"/>
  <c r="D112" i="20"/>
  <c r="D113" i="20"/>
  <c r="D114" i="20"/>
  <c r="D115" i="20"/>
  <c r="D116" i="20"/>
  <c r="D117" i="20"/>
  <c r="D118" i="20"/>
  <c r="D119" i="20"/>
  <c r="D120" i="20"/>
  <c r="D121" i="20"/>
  <c r="D122" i="20"/>
  <c r="D123" i="20"/>
  <c r="D124" i="20"/>
  <c r="D125" i="20"/>
  <c r="D126" i="20"/>
  <c r="D127" i="20"/>
  <c r="D128" i="20"/>
  <c r="D129" i="20"/>
  <c r="D130" i="20"/>
  <c r="D131" i="20"/>
  <c r="D132" i="20"/>
  <c r="D133" i="20"/>
  <c r="D134" i="20"/>
  <c r="D135" i="20"/>
  <c r="D136" i="20"/>
  <c r="D137" i="20"/>
  <c r="D138" i="20"/>
  <c r="D139" i="20"/>
  <c r="D140" i="20"/>
  <c r="D141" i="20"/>
  <c r="D142" i="20"/>
  <c r="D143" i="20"/>
  <c r="D144" i="20"/>
  <c r="D145" i="20"/>
  <c r="D146" i="20"/>
  <c r="D147" i="20"/>
  <c r="D148" i="20"/>
  <c r="D149" i="20"/>
  <c r="D150" i="20"/>
  <c r="D151" i="20"/>
  <c r="D152" i="20"/>
  <c r="D153" i="20"/>
  <c r="D154" i="20"/>
  <c r="D155" i="20"/>
  <c r="D156" i="20"/>
  <c r="D157" i="20"/>
  <c r="D158" i="20"/>
  <c r="D159" i="20"/>
  <c r="D160" i="20"/>
  <c r="D161" i="20"/>
  <c r="D162" i="20"/>
  <c r="D163" i="20"/>
  <c r="D164" i="20"/>
  <c r="D165" i="20"/>
  <c r="D166" i="20"/>
  <c r="D167" i="20"/>
  <c r="D168" i="20"/>
  <c r="D169" i="20"/>
  <c r="D170" i="20"/>
  <c r="D171" i="20"/>
  <c r="D172" i="20"/>
  <c r="D173" i="20"/>
  <c r="D174" i="20"/>
  <c r="D175" i="20"/>
  <c r="D176" i="20"/>
  <c r="D177" i="20"/>
  <c r="D178" i="20"/>
  <c r="D179" i="20"/>
  <c r="D180" i="20"/>
  <c r="D181" i="20"/>
  <c r="D182" i="20"/>
  <c r="D183" i="20"/>
  <c r="D184" i="20"/>
  <c r="D185" i="20"/>
  <c r="D186" i="20"/>
  <c r="D187" i="20"/>
  <c r="D188" i="20"/>
  <c r="D189" i="20"/>
  <c r="D190" i="20"/>
  <c r="D191" i="20"/>
  <c r="D192" i="20"/>
  <c r="D193" i="20"/>
  <c r="D194" i="20"/>
  <c r="D195" i="20"/>
  <c r="D196" i="20"/>
  <c r="D197"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C148" i="20"/>
  <c r="C149" i="20"/>
  <c r="C150" i="20"/>
  <c r="C151" i="20"/>
  <c r="C152" i="20"/>
  <c r="C153" i="20"/>
  <c r="C154" i="20"/>
  <c r="C155" i="20"/>
  <c r="C156" i="20"/>
  <c r="C157" i="20"/>
  <c r="C158" i="20"/>
  <c r="C159" i="20"/>
  <c r="C160" i="20"/>
  <c r="C161" i="20"/>
  <c r="C162" i="20"/>
  <c r="C163" i="20"/>
  <c r="C164" i="20"/>
  <c r="C165" i="20"/>
  <c r="C166" i="20"/>
  <c r="C167" i="20"/>
  <c r="C168" i="20"/>
  <c r="C169" i="20"/>
  <c r="C170" i="20"/>
  <c r="C171" i="20"/>
  <c r="C172" i="20"/>
  <c r="C173" i="20"/>
  <c r="C174" i="20"/>
  <c r="C175" i="20"/>
  <c r="C176" i="20"/>
  <c r="C177" i="20"/>
  <c r="C178" i="20"/>
  <c r="C179" i="20"/>
  <c r="C180" i="20"/>
  <c r="C181" i="20"/>
  <c r="C182" i="20"/>
  <c r="C183" i="20"/>
  <c r="C184" i="20"/>
  <c r="C185" i="20"/>
  <c r="C186" i="20"/>
  <c r="C187" i="20"/>
  <c r="C188" i="20"/>
  <c r="C189" i="20"/>
  <c r="C190" i="20"/>
  <c r="C191" i="20"/>
  <c r="C192" i="20"/>
  <c r="C193" i="20"/>
  <c r="C194" i="20"/>
  <c r="C195" i="20"/>
  <c r="C196" i="20"/>
  <c r="C197" i="20"/>
  <c r="B118" i="20"/>
  <c r="B119" i="20"/>
  <c r="B120" i="20"/>
  <c r="B121" i="20"/>
  <c r="B122" i="20"/>
  <c r="B123" i="20"/>
  <c r="B124" i="20"/>
  <c r="B125" i="20"/>
  <c r="B126" i="20"/>
  <c r="B127" i="20"/>
  <c r="B128" i="20"/>
  <c r="B129" i="20"/>
  <c r="B130" i="20"/>
  <c r="B131" i="20"/>
  <c r="B132" i="20"/>
  <c r="B133" i="20"/>
  <c r="B134" i="20"/>
  <c r="B135" i="20"/>
  <c r="B136" i="20"/>
  <c r="B137" i="20"/>
  <c r="B138" i="20"/>
  <c r="B139" i="20"/>
  <c r="B140" i="20"/>
  <c r="B141" i="20"/>
  <c r="B142" i="20"/>
  <c r="B143" i="20"/>
  <c r="B144" i="20"/>
  <c r="B145" i="20"/>
  <c r="B146" i="20"/>
  <c r="B147" i="20"/>
  <c r="B148" i="20"/>
  <c r="B149" i="20"/>
  <c r="B150" i="20"/>
  <c r="B151" i="20"/>
  <c r="B152" i="20"/>
  <c r="B153" i="20"/>
  <c r="B154" i="20"/>
  <c r="B155" i="20"/>
  <c r="B156" i="20"/>
  <c r="B157" i="20"/>
  <c r="B158" i="20"/>
  <c r="B159" i="20"/>
  <c r="B160" i="20"/>
  <c r="B161" i="20"/>
  <c r="B162" i="20"/>
  <c r="B163" i="20"/>
  <c r="B164" i="20"/>
  <c r="B165" i="20"/>
  <c r="B166" i="20"/>
  <c r="B167" i="20"/>
  <c r="B168" i="20"/>
  <c r="B169" i="20"/>
  <c r="B170" i="20"/>
  <c r="B171" i="20"/>
  <c r="B172" i="20"/>
  <c r="B173" i="20"/>
  <c r="B174" i="20"/>
  <c r="B175" i="20"/>
  <c r="B176" i="20"/>
  <c r="B177" i="20"/>
  <c r="B178" i="20"/>
  <c r="B179" i="20"/>
  <c r="B180" i="20"/>
  <c r="B181" i="20"/>
  <c r="B182" i="20"/>
  <c r="B183" i="20"/>
  <c r="B184" i="20"/>
  <c r="B185" i="20"/>
  <c r="B186" i="20"/>
  <c r="B187" i="20"/>
  <c r="B188" i="20"/>
  <c r="B189" i="20"/>
  <c r="B190" i="20"/>
  <c r="B191" i="20"/>
  <c r="B192" i="20"/>
  <c r="B193" i="20"/>
  <c r="B194" i="20"/>
  <c r="B195" i="20"/>
  <c r="B196" i="20"/>
  <c r="B197" i="20"/>
  <c r="B198" i="20"/>
  <c r="B104" i="20"/>
  <c r="B105" i="20"/>
  <c r="B106" i="20"/>
  <c r="B107" i="20"/>
  <c r="B108" i="20"/>
  <c r="B109" i="20"/>
  <c r="B110" i="20"/>
  <c r="B111" i="20"/>
  <c r="B112" i="20"/>
  <c r="B113" i="20"/>
  <c r="B114" i="20"/>
  <c r="B115" i="20"/>
  <c r="B116" i="20"/>
  <c r="B117" i="20"/>
  <c r="G101" i="20"/>
  <c r="F101" i="20"/>
  <c r="E101" i="20"/>
  <c r="D101" i="20"/>
  <c r="C101" i="20"/>
  <c r="B101"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01" i="20"/>
  <c r="B204" i="26"/>
  <c r="A204" i="26" s="1"/>
  <c r="B205" i="26"/>
  <c r="A205" i="26" s="1"/>
  <c r="B206" i="26"/>
  <c r="A206" i="26" s="1"/>
  <c r="B207" i="26"/>
  <c r="A207" i="26" s="1"/>
  <c r="B208" i="26"/>
  <c r="A208" i="26" s="1"/>
  <c r="B209" i="26"/>
  <c r="A209" i="26" s="1"/>
  <c r="B210" i="26"/>
  <c r="A210" i="26" s="1"/>
  <c r="B211" i="26"/>
  <c r="A211" i="26" s="1"/>
  <c r="B212" i="26"/>
  <c r="A212" i="26" s="1"/>
  <c r="B213" i="26"/>
  <c r="A213" i="26" s="1"/>
  <c r="B214" i="26"/>
  <c r="A214" i="26" s="1"/>
  <c r="B215" i="26"/>
  <c r="A215" i="26" s="1"/>
  <c r="B216" i="26"/>
  <c r="A216" i="26" s="1"/>
  <c r="B217" i="26"/>
  <c r="A217" i="26" s="1"/>
  <c r="B218" i="26"/>
  <c r="A218" i="26" s="1"/>
  <c r="B219" i="26"/>
  <c r="A219" i="26" s="1"/>
  <c r="B220" i="26"/>
  <c r="A220" i="26" s="1"/>
  <c r="B221" i="26"/>
  <c r="A221" i="26" s="1"/>
  <c r="B222" i="26"/>
  <c r="A222" i="26" s="1"/>
  <c r="B223" i="26"/>
  <c r="A223" i="26" s="1"/>
  <c r="B224" i="26"/>
  <c r="A224" i="26" s="1"/>
  <c r="B225" i="26"/>
  <c r="A225" i="26" s="1"/>
  <c r="B226" i="26"/>
  <c r="A226" i="26" s="1"/>
  <c r="B227" i="26"/>
  <c r="A227" i="26" s="1"/>
  <c r="B228" i="26"/>
  <c r="A228" i="26" s="1"/>
  <c r="B229" i="26"/>
  <c r="A229" i="26" s="1"/>
  <c r="B230" i="26"/>
  <c r="A230" i="26" s="1"/>
  <c r="B231" i="26"/>
  <c r="A231" i="26" s="1"/>
  <c r="B232" i="26"/>
  <c r="A232" i="26" s="1"/>
  <c r="B233" i="26"/>
  <c r="A233" i="26" s="1"/>
  <c r="B234" i="26"/>
  <c r="A234" i="26" s="1"/>
  <c r="B235" i="26"/>
  <c r="A235" i="26" s="1"/>
  <c r="B236" i="26"/>
  <c r="A236" i="26" s="1"/>
  <c r="B237" i="26"/>
  <c r="A237" i="26" s="1"/>
  <c r="B238" i="26"/>
  <c r="A238" i="26" s="1"/>
  <c r="B239" i="26"/>
  <c r="A239" i="26" s="1"/>
  <c r="B240" i="26"/>
  <c r="A240" i="26" s="1"/>
  <c r="B241" i="26"/>
  <c r="A241" i="26" s="1"/>
  <c r="B242" i="26"/>
  <c r="A242" i="26" s="1"/>
  <c r="B243" i="26"/>
  <c r="A243" i="26" s="1"/>
  <c r="B244" i="26"/>
  <c r="A244" i="26" s="1"/>
  <c r="B245" i="26"/>
  <c r="A245" i="26" s="1"/>
  <c r="B246" i="26"/>
  <c r="A246" i="26" s="1"/>
  <c r="B247" i="26"/>
  <c r="A247" i="26" s="1"/>
  <c r="B248" i="26"/>
  <c r="A248" i="26" s="1"/>
  <c r="B249" i="26"/>
  <c r="A249" i="26" s="1"/>
  <c r="B250" i="26"/>
  <c r="A250" i="26" s="1"/>
  <c r="B251" i="26"/>
  <c r="A251" i="26" s="1"/>
  <c r="B252" i="26"/>
  <c r="A252" i="26" s="1"/>
  <c r="B253" i="26"/>
  <c r="A253" i="26" s="1"/>
  <c r="B254" i="26"/>
  <c r="A254" i="26" s="1"/>
  <c r="B255" i="26"/>
  <c r="A255" i="26" s="1"/>
  <c r="B256" i="26"/>
  <c r="A256" i="26" s="1"/>
  <c r="B257" i="26"/>
  <c r="A257" i="26" s="1"/>
  <c r="B258" i="26"/>
  <c r="A258" i="26" s="1"/>
  <c r="B259" i="26"/>
  <c r="A259" i="26" s="1"/>
  <c r="B260" i="26"/>
  <c r="A260" i="26" s="1"/>
  <c r="B261" i="26"/>
  <c r="A261" i="26" s="1"/>
  <c r="B262" i="26"/>
  <c r="A262" i="26" s="1"/>
  <c r="B263" i="26"/>
  <c r="A263" i="26" s="1"/>
  <c r="B264" i="26"/>
  <c r="A264" i="26" s="1"/>
  <c r="B265" i="26"/>
  <c r="A265" i="26" s="1"/>
  <c r="B266" i="26"/>
  <c r="A266" i="26" s="1"/>
  <c r="B267" i="26"/>
  <c r="A267" i="26" s="1"/>
  <c r="B268" i="26"/>
  <c r="A268" i="26" s="1"/>
  <c r="B269" i="26"/>
  <c r="A269" i="26" s="1"/>
  <c r="B270" i="26"/>
  <c r="A270" i="26" s="1"/>
  <c r="B271" i="26"/>
  <c r="A271" i="26" s="1"/>
  <c r="B272" i="26"/>
  <c r="A272" i="26" s="1"/>
  <c r="B273" i="26"/>
  <c r="A273" i="26" s="1"/>
  <c r="B274" i="26"/>
  <c r="A274" i="26" s="1"/>
  <c r="B275" i="26"/>
  <c r="A275" i="26" s="1"/>
  <c r="B276" i="26"/>
  <c r="A276" i="26" s="1"/>
  <c r="B277" i="26"/>
  <c r="A277" i="26" s="1"/>
  <c r="B278" i="26"/>
  <c r="A278" i="26" s="1"/>
  <c r="B279" i="26"/>
  <c r="A279" i="26" s="1"/>
  <c r="B280" i="26"/>
  <c r="A280" i="26" s="1"/>
  <c r="B281" i="26"/>
  <c r="A281" i="26" s="1"/>
  <c r="B282" i="26"/>
  <c r="A282" i="26" s="1"/>
  <c r="B283" i="26"/>
  <c r="A283" i="26" s="1"/>
  <c r="B284" i="26"/>
  <c r="A284" i="26" s="1"/>
  <c r="B285" i="26"/>
  <c r="A285" i="26" s="1"/>
  <c r="B286" i="26"/>
  <c r="A286" i="26" s="1"/>
  <c r="B287" i="26"/>
  <c r="A287" i="26" s="1"/>
  <c r="B288" i="26"/>
  <c r="A288" i="26" s="1"/>
  <c r="B289" i="26"/>
  <c r="A289" i="26" s="1"/>
  <c r="B290" i="26"/>
  <c r="A290" i="26" s="1"/>
  <c r="B291" i="26"/>
  <c r="A291" i="26" s="1"/>
  <c r="B292" i="26"/>
  <c r="A292" i="26" s="1"/>
  <c r="B293" i="26"/>
  <c r="A293" i="26" s="1"/>
  <c r="B294" i="26"/>
  <c r="A294" i="26" s="1"/>
  <c r="B295" i="26"/>
  <c r="A295" i="26" s="1"/>
  <c r="B296" i="26"/>
  <c r="A296" i="26" s="1"/>
  <c r="B297" i="26"/>
  <c r="A297" i="26" s="1"/>
  <c r="B298" i="26"/>
  <c r="A298" i="26" s="1"/>
  <c r="B201" i="26"/>
  <c r="A201" i="26" s="1"/>
  <c r="B81" i="26"/>
  <c r="A81" i="26"/>
  <c r="B28" i="26"/>
  <c r="B29" i="26"/>
  <c r="B30" i="26"/>
  <c r="B31" i="26"/>
  <c r="B32" i="26"/>
  <c r="B33" i="26"/>
  <c r="B34" i="26"/>
  <c r="B35" i="26"/>
  <c r="B36" i="26"/>
  <c r="B37" i="26"/>
  <c r="B38" i="26"/>
  <c r="B39" i="26"/>
  <c r="B40" i="26"/>
  <c r="B41" i="26"/>
  <c r="B42" i="26"/>
  <c r="B43" i="26"/>
  <c r="B44" i="26"/>
  <c r="B45" i="26"/>
  <c r="B46" i="26"/>
  <c r="B47" i="26"/>
  <c r="B48" i="26"/>
  <c r="B49" i="26"/>
  <c r="B50" i="26"/>
  <c r="B51" i="26"/>
  <c r="B52" i="26"/>
  <c r="B53" i="26"/>
  <c r="B54" i="26"/>
  <c r="B55" i="26"/>
  <c r="B56" i="26"/>
  <c r="B57" i="26"/>
  <c r="B58" i="26"/>
  <c r="B59" i="26"/>
  <c r="B60" i="26"/>
  <c r="B61" i="26"/>
  <c r="B62" i="26"/>
  <c r="B63" i="26"/>
  <c r="B64" i="26"/>
  <c r="B65" i="26"/>
  <c r="B66" i="26"/>
  <c r="B67" i="26"/>
  <c r="B68" i="26"/>
  <c r="B69" i="26"/>
  <c r="B70" i="26"/>
  <c r="B71" i="26"/>
  <c r="B72" i="26"/>
  <c r="B73" i="26"/>
  <c r="B74" i="26"/>
  <c r="B75" i="26"/>
  <c r="B76" i="26"/>
  <c r="B77" i="26"/>
  <c r="B78" i="26"/>
  <c r="B79" i="26"/>
  <c r="B80" i="26"/>
  <c r="B82" i="26"/>
  <c r="B83" i="26"/>
  <c r="B84" i="26"/>
  <c r="B27" i="26"/>
  <c r="A19" i="26"/>
  <c r="A20" i="26"/>
  <c r="A21" i="26"/>
  <c r="A22" i="26"/>
  <c r="A23" i="26"/>
  <c r="A24" i="26"/>
  <c r="A25" i="26"/>
  <c r="A26" i="26"/>
  <c r="A27" i="26"/>
  <c r="A28" i="26"/>
  <c r="A29" i="26"/>
  <c r="A30" i="26"/>
  <c r="A31" i="26"/>
  <c r="A32" i="26"/>
  <c r="A33" i="26"/>
  <c r="A34" i="26"/>
  <c r="A35" i="26"/>
  <c r="A36" i="26"/>
  <c r="A37" i="26"/>
  <c r="A38" i="26"/>
  <c r="A39" i="26"/>
  <c r="A40" i="26"/>
  <c r="A41" i="26"/>
  <c r="A42" i="26"/>
  <c r="A43" i="26"/>
  <c r="A44" i="26"/>
  <c r="A45" i="26"/>
  <c r="A46" i="26"/>
  <c r="A47" i="26"/>
  <c r="A48" i="26"/>
  <c r="A49" i="26"/>
  <c r="A50" i="26"/>
  <c r="A51" i="26"/>
  <c r="A52" i="26"/>
  <c r="A53" i="26"/>
  <c r="A54" i="26"/>
  <c r="A55" i="26"/>
  <c r="A56" i="26"/>
  <c r="A57" i="26"/>
  <c r="A58" i="26"/>
  <c r="A59" i="26"/>
  <c r="A60" i="26"/>
  <c r="A61" i="26"/>
  <c r="A62" i="26"/>
  <c r="A63" i="26"/>
  <c r="A64" i="26"/>
  <c r="A65" i="26"/>
  <c r="A66" i="26"/>
  <c r="A67" i="26"/>
  <c r="A68" i="26"/>
  <c r="A69" i="26"/>
  <c r="A70" i="26"/>
  <c r="A71" i="26"/>
  <c r="A72" i="26"/>
  <c r="A73" i="26"/>
  <c r="A74" i="26"/>
  <c r="A75" i="26"/>
  <c r="A76" i="26"/>
  <c r="A77" i="26"/>
  <c r="A78" i="26"/>
  <c r="A79" i="26"/>
  <c r="A80" i="26"/>
  <c r="A82" i="26"/>
  <c r="A83" i="26"/>
  <c r="A84" i="26"/>
  <c r="A2" i="26"/>
  <c r="A3" i="26"/>
  <c r="A4" i="26"/>
  <c r="A5" i="26"/>
  <c r="A6" i="26"/>
  <c r="A7" i="26"/>
  <c r="A8" i="26"/>
  <c r="A9" i="26"/>
  <c r="A10" i="26"/>
  <c r="A11" i="26"/>
  <c r="A12" i="26"/>
  <c r="A13" i="26"/>
  <c r="A14" i="26"/>
  <c r="A15" i="26"/>
  <c r="A16" i="26"/>
  <c r="A17" i="26"/>
  <c r="A18" i="26"/>
  <c r="A1" i="26"/>
  <c r="C1" i="14"/>
  <c r="E1" i="14"/>
  <c r="A33" i="14"/>
  <c r="R39" i="17"/>
  <c r="P39" i="17"/>
  <c r="N39" i="17"/>
  <c r="L39" i="17"/>
  <c r="J39" i="17"/>
  <c r="H39" i="17"/>
  <c r="F39" i="17"/>
  <c r="AA38" i="17"/>
  <c r="Y38" i="17"/>
  <c r="R38" i="17"/>
  <c r="P38" i="17"/>
  <c r="N38" i="17"/>
  <c r="L38" i="17"/>
  <c r="J38" i="17"/>
  <c r="H38" i="17"/>
  <c r="F38" i="17"/>
  <c r="A56" i="14"/>
  <c r="I4" i="9"/>
  <c r="L19" i="10"/>
  <c r="L21" i="10" s="1"/>
  <c r="A22" i="10" s="1"/>
  <c r="K5" i="9"/>
  <c r="G5" i="9" s="1"/>
  <c r="C5" i="16"/>
  <c r="I34" i="15"/>
  <c r="I10" i="16" s="1"/>
  <c r="H22" i="16"/>
  <c r="I22" i="16"/>
  <c r="H2" i="7"/>
  <c r="I2" i="7" s="1"/>
  <c r="H3" i="7"/>
  <c r="I3" i="7" s="1"/>
  <c r="H4" i="7"/>
  <c r="K4" i="7" s="1"/>
  <c r="H5" i="7"/>
  <c r="I5" i="7" s="1"/>
  <c r="H6" i="7"/>
  <c r="E6" i="7" s="1"/>
  <c r="H7" i="7"/>
  <c r="C7" i="7" s="1"/>
  <c r="H8" i="7"/>
  <c r="I8" i="7" s="1"/>
  <c r="P8" i="7" s="1"/>
  <c r="K4" i="9"/>
  <c r="K6" i="9"/>
  <c r="G6" i="9" s="1"/>
  <c r="K7" i="9"/>
  <c r="G7" i="9" s="1"/>
  <c r="K8" i="9"/>
  <c r="K9" i="9"/>
  <c r="K10" i="9"/>
  <c r="K11" i="9"/>
  <c r="K12" i="9"/>
  <c r="K13" i="9"/>
  <c r="K14" i="9"/>
  <c r="K15" i="9"/>
  <c r="K16" i="9"/>
  <c r="K17" i="9"/>
  <c r="K18" i="9"/>
  <c r="G18" i="9"/>
  <c r="K24" i="9"/>
  <c r="K25" i="9"/>
  <c r="K26" i="9"/>
  <c r="G26" i="9" s="1"/>
  <c r="K27" i="9"/>
  <c r="K28" i="9"/>
  <c r="H28" i="9"/>
  <c r="C15" i="24"/>
  <c r="C7" i="24"/>
  <c r="C22" i="24"/>
  <c r="C23" i="24"/>
  <c r="C29" i="24"/>
  <c r="C30" i="24" s="1"/>
  <c r="H11" i="24"/>
  <c r="H10" i="24"/>
  <c r="F8" i="24"/>
  <c r="H8" i="24" s="1"/>
  <c r="H6" i="24"/>
  <c r="H5" i="24"/>
  <c r="C29" i="15"/>
  <c r="E1" i="22"/>
  <c r="B2" i="22"/>
  <c r="B5" i="22" s="1"/>
  <c r="L42" i="2" s="1"/>
  <c r="C13" i="2"/>
  <c r="C26" i="2"/>
  <c r="C25" i="2"/>
  <c r="C24" i="2"/>
  <c r="C23" i="2"/>
  <c r="C22" i="2"/>
  <c r="C21" i="2"/>
  <c r="C20" i="2"/>
  <c r="C19" i="2"/>
  <c r="C18" i="2"/>
  <c r="C17" i="2"/>
  <c r="C16" i="2"/>
  <c r="C15" i="2"/>
  <c r="C14" i="2"/>
  <c r="U27" i="2"/>
  <c r="B6" i="22"/>
  <c r="B13" i="22"/>
  <c r="B14" i="22" s="1"/>
  <c r="B15" i="22" s="1"/>
  <c r="B1" i="22"/>
  <c r="B4" i="22" s="1"/>
  <c r="C4" i="21"/>
  <c r="B1" i="19"/>
  <c r="A29" i="14"/>
  <c r="J29" i="7"/>
  <c r="I26" i="7"/>
  <c r="H10" i="7"/>
  <c r="H11" i="7"/>
  <c r="I11" i="7" s="1"/>
  <c r="H12" i="7"/>
  <c r="H14" i="7"/>
  <c r="B6" i="15"/>
  <c r="C6" i="15" s="1"/>
  <c r="B7" i="15"/>
  <c r="E7" i="15" s="1"/>
  <c r="B8" i="15"/>
  <c r="E8" i="15" s="1"/>
  <c r="B9" i="15"/>
  <c r="E9" i="15" s="1"/>
  <c r="B10" i="15"/>
  <c r="C10" i="15" s="1"/>
  <c r="B11" i="15"/>
  <c r="D11" i="15" s="1"/>
  <c r="B12" i="15"/>
  <c r="E12" i="15" s="1"/>
  <c r="B13" i="15"/>
  <c r="C13" i="15" s="1"/>
  <c r="B14" i="15"/>
  <c r="E14" i="15"/>
  <c r="B15" i="15"/>
  <c r="C15" i="15" s="1"/>
  <c r="B16" i="15"/>
  <c r="E16" i="15"/>
  <c r="B17" i="15"/>
  <c r="E17" i="15" s="1"/>
  <c r="B18" i="15"/>
  <c r="C18" i="15"/>
  <c r="B19" i="15"/>
  <c r="H50" i="15"/>
  <c r="I50" i="15"/>
  <c r="C34" i="15"/>
  <c r="C38" i="15" s="1"/>
  <c r="C50" i="15"/>
  <c r="D50" i="15"/>
  <c r="D34" i="15"/>
  <c r="D10" i="16" s="1"/>
  <c r="E50" i="15"/>
  <c r="F50" i="15"/>
  <c r="C65" i="15"/>
  <c r="C66" i="15"/>
  <c r="C67" i="15"/>
  <c r="D65" i="15"/>
  <c r="D66" i="15"/>
  <c r="D67" i="15"/>
  <c r="E65" i="15"/>
  <c r="G34" i="15"/>
  <c r="C22" i="16"/>
  <c r="E22" i="16"/>
  <c r="G22" i="16"/>
  <c r="G50" i="15"/>
  <c r="H34" i="15"/>
  <c r="D22" i="16"/>
  <c r="F22" i="16"/>
  <c r="E34" i="15"/>
  <c r="E10" i="16"/>
  <c r="H15" i="7"/>
  <c r="H13" i="7"/>
  <c r="I13" i="7" s="1"/>
  <c r="K13" i="7"/>
  <c r="H9" i="7"/>
  <c r="I9" i="7" s="1"/>
  <c r="K37" i="7"/>
  <c r="K35" i="7"/>
  <c r="N36" i="7"/>
  <c r="O34" i="7" s="1"/>
  <c r="K39" i="7" s="1"/>
  <c r="O38" i="7"/>
  <c r="N4" i="9"/>
  <c r="O4" i="9"/>
  <c r="O14" i="2"/>
  <c r="N5" i="9" s="1"/>
  <c r="O5" i="9"/>
  <c r="O15" i="2"/>
  <c r="N6" i="9" s="1"/>
  <c r="O6" i="9"/>
  <c r="O16" i="2"/>
  <c r="N7" i="9" s="1"/>
  <c r="O7" i="9"/>
  <c r="U26" i="2"/>
  <c r="U25" i="2"/>
  <c r="U24" i="2"/>
  <c r="U23" i="2"/>
  <c r="U22" i="2"/>
  <c r="U21" i="2"/>
  <c r="U20" i="2"/>
  <c r="U19" i="2"/>
  <c r="U18" i="2"/>
  <c r="U17" i="2"/>
  <c r="U16" i="2"/>
  <c r="U15" i="2"/>
  <c r="U14" i="2"/>
  <c r="U13" i="2"/>
  <c r="G50" i="14"/>
  <c r="G49" i="14"/>
  <c r="G48" i="14"/>
  <c r="G47" i="14"/>
  <c r="G46" i="14"/>
  <c r="F50" i="14"/>
  <c r="F49" i="14"/>
  <c r="F48" i="14"/>
  <c r="F47" i="14"/>
  <c r="F46" i="14"/>
  <c r="E50" i="14"/>
  <c r="E49" i="14"/>
  <c r="E48" i="14"/>
  <c r="E47" i="14"/>
  <c r="E46" i="14"/>
  <c r="I42" i="14"/>
  <c r="H42" i="14"/>
  <c r="G42" i="14"/>
  <c r="F42" i="14"/>
  <c r="E42" i="14"/>
  <c r="I41" i="14"/>
  <c r="H41" i="14"/>
  <c r="G41" i="14"/>
  <c r="F41" i="14"/>
  <c r="E41" i="14"/>
  <c r="I40" i="14"/>
  <c r="H40" i="14"/>
  <c r="G40" i="14"/>
  <c r="F40" i="14"/>
  <c r="E40" i="14"/>
  <c r="I39" i="14"/>
  <c r="H39" i="14"/>
  <c r="G39" i="14"/>
  <c r="F39" i="14"/>
  <c r="E39" i="14"/>
  <c r="I38" i="14"/>
  <c r="H38" i="14"/>
  <c r="G38" i="14"/>
  <c r="F38" i="14"/>
  <c r="E38" i="14"/>
  <c r="D52" i="14"/>
  <c r="D51" i="14"/>
  <c r="D49" i="14"/>
  <c r="D48" i="14"/>
  <c r="D47" i="14"/>
  <c r="D46" i="14"/>
  <c r="D45" i="14"/>
  <c r="D44" i="14"/>
  <c r="D43" i="14"/>
  <c r="D42" i="14"/>
  <c r="D41" i="14"/>
  <c r="D40" i="14"/>
  <c r="D39" i="14"/>
  <c r="D38" i="14"/>
  <c r="C52" i="14"/>
  <c r="C51" i="14"/>
  <c r="C49" i="14"/>
  <c r="C48" i="14"/>
  <c r="C47" i="14"/>
  <c r="C46" i="14"/>
  <c r="C45" i="14"/>
  <c r="C44" i="14"/>
  <c r="C43" i="14"/>
  <c r="C42" i="14"/>
  <c r="C41" i="14"/>
  <c r="C40" i="14"/>
  <c r="C39" i="14"/>
  <c r="B52" i="14"/>
  <c r="B51" i="14"/>
  <c r="B49" i="14"/>
  <c r="B48" i="14"/>
  <c r="B47" i="14"/>
  <c r="B46" i="14"/>
  <c r="B45" i="14"/>
  <c r="B44" i="14"/>
  <c r="B43" i="14"/>
  <c r="B42" i="14"/>
  <c r="B41" i="14"/>
  <c r="B40" i="14"/>
  <c r="B39" i="14"/>
  <c r="B38" i="14"/>
  <c r="A52" i="14"/>
  <c r="A51" i="14"/>
  <c r="A49" i="14"/>
  <c r="A48" i="14"/>
  <c r="A47" i="14"/>
  <c r="A46" i="14"/>
  <c r="A45" i="14"/>
  <c r="A44" i="14"/>
  <c r="A43" i="14"/>
  <c r="A42" i="14"/>
  <c r="A41" i="14"/>
  <c r="A40" i="14"/>
  <c r="A39" i="14"/>
  <c r="A38" i="14"/>
  <c r="B24" i="14"/>
  <c r="B23" i="14"/>
  <c r="B22" i="14"/>
  <c r="B21" i="14"/>
  <c r="B20" i="14"/>
  <c r="B19" i="14"/>
  <c r="B18" i="14"/>
  <c r="B17" i="14"/>
  <c r="B16" i="14"/>
  <c r="B15" i="14"/>
  <c r="B14" i="14"/>
  <c r="B13" i="14"/>
  <c r="B12" i="14"/>
  <c r="B11" i="14"/>
  <c r="B10" i="14"/>
  <c r="A24" i="14"/>
  <c r="A1" i="14"/>
  <c r="A54" i="14"/>
  <c r="N2" i="13"/>
  <c r="O14" i="13" s="1"/>
  <c r="C4" i="12"/>
  <c r="C6" i="12" s="1"/>
  <c r="C12" i="12" s="1"/>
  <c r="M55" i="2" s="1"/>
  <c r="O28" i="9"/>
  <c r="O27" i="9"/>
  <c r="O26" i="9"/>
  <c r="O25" i="9"/>
  <c r="O24" i="9"/>
  <c r="M28" i="9"/>
  <c r="M27" i="9"/>
  <c r="M26" i="9"/>
  <c r="M25" i="9"/>
  <c r="M24" i="9"/>
  <c r="I28" i="9"/>
  <c r="I27" i="9"/>
  <c r="I26" i="9"/>
  <c r="I25" i="9"/>
  <c r="I24" i="9"/>
  <c r="I36" i="2"/>
  <c r="N28" i="9"/>
  <c r="I35" i="2"/>
  <c r="N27" i="9" s="1"/>
  <c r="P27" i="9" s="1"/>
  <c r="I34" i="2"/>
  <c r="N26" i="9" s="1"/>
  <c r="P26" i="9"/>
  <c r="I33" i="2"/>
  <c r="N25" i="9" s="1"/>
  <c r="I32" i="2"/>
  <c r="N24" i="9" s="1"/>
  <c r="A46" i="10"/>
  <c r="O27" i="2"/>
  <c r="N18" i="9" s="1"/>
  <c r="P18" i="9" s="1"/>
  <c r="O18" i="9"/>
  <c r="O26" i="2"/>
  <c r="N17" i="9"/>
  <c r="P17" i="9" s="1"/>
  <c r="O17" i="9"/>
  <c r="O25" i="2"/>
  <c r="N16" i="9"/>
  <c r="P16" i="9" s="1"/>
  <c r="O16" i="9"/>
  <c r="O24" i="2"/>
  <c r="N15" i="9"/>
  <c r="P15" i="9" s="1"/>
  <c r="O15" i="9"/>
  <c r="O23" i="2"/>
  <c r="N14" i="9" s="1"/>
  <c r="P14" i="9" s="1"/>
  <c r="O14" i="9"/>
  <c r="O22" i="2"/>
  <c r="N13" i="9"/>
  <c r="P13" i="9" s="1"/>
  <c r="O13" i="9"/>
  <c r="O21" i="2"/>
  <c r="N12" i="9"/>
  <c r="P12" i="9" s="1"/>
  <c r="O12" i="9"/>
  <c r="O20" i="2"/>
  <c r="N11" i="9"/>
  <c r="O11" i="9"/>
  <c r="O19" i="2"/>
  <c r="N10" i="9" s="1"/>
  <c r="O10" i="9"/>
  <c r="O18" i="2"/>
  <c r="N9" i="9" s="1"/>
  <c r="O9" i="9"/>
  <c r="O17" i="2"/>
  <c r="N8" i="9" s="1"/>
  <c r="O8" i="9"/>
  <c r="I18" i="9"/>
  <c r="I17" i="9"/>
  <c r="I16" i="9"/>
  <c r="I15" i="9"/>
  <c r="I14" i="9"/>
  <c r="I13" i="9"/>
  <c r="I12" i="9"/>
  <c r="I11" i="9"/>
  <c r="I10" i="9"/>
  <c r="I9" i="9"/>
  <c r="I8" i="9"/>
  <c r="I7" i="9"/>
  <c r="I6" i="9"/>
  <c r="I5" i="9"/>
  <c r="D9" i="8"/>
  <c r="H16" i="7"/>
  <c r="A22" i="14"/>
  <c r="A16" i="14"/>
  <c r="A12" i="14"/>
  <c r="A23" i="14"/>
  <c r="A19" i="14"/>
  <c r="A15" i="14"/>
  <c r="A11" i="14"/>
  <c r="A10" i="14"/>
  <c r="A14" i="14"/>
  <c r="A13" i="14"/>
  <c r="A21" i="14"/>
  <c r="A18" i="14"/>
  <c r="A20" i="14"/>
  <c r="O36" i="7"/>
  <c r="K33" i="7"/>
  <c r="O35" i="7"/>
  <c r="K38" i="7" s="1"/>
  <c r="I35" i="15"/>
  <c r="L11" i="25"/>
  <c r="G10" i="16"/>
  <c r="G11" i="16" s="1"/>
  <c r="C17" i="15"/>
  <c r="G17" i="9"/>
  <c r="G11" i="9"/>
  <c r="G4" i="9"/>
  <c r="C16" i="15"/>
  <c r="E18" i="15"/>
  <c r="E15" i="15"/>
  <c r="H35" i="15"/>
  <c r="H39" i="15"/>
  <c r="L20" i="10"/>
  <c r="M17" i="9"/>
  <c r="X17" i="9" s="1"/>
  <c r="M15" i="9"/>
  <c r="X15" i="9" s="1"/>
  <c r="Y15" i="9" s="1"/>
  <c r="M13" i="9"/>
  <c r="X13" i="9" s="1"/>
  <c r="M11" i="9"/>
  <c r="X11" i="9" s="1"/>
  <c r="Y11" i="9" s="1"/>
  <c r="V17" i="9"/>
  <c r="V15" i="9"/>
  <c r="V11" i="9"/>
  <c r="V12" i="9"/>
  <c r="V18" i="9"/>
  <c r="V10" i="9"/>
  <c r="D18" i="15"/>
  <c r="D16" i="15"/>
  <c r="C38" i="14"/>
  <c r="AF13" i="2"/>
  <c r="L4" i="9"/>
  <c r="H4" i="9" s="1"/>
  <c r="H11" i="9"/>
  <c r="G14" i="9"/>
  <c r="H10" i="16"/>
  <c r="H14" i="16" s="1"/>
  <c r="H11" i="16"/>
  <c r="J11" i="16" s="1"/>
  <c r="D13" i="15"/>
  <c r="G28" i="9"/>
  <c r="G35" i="15"/>
  <c r="G39" i="15" s="1"/>
  <c r="J35" i="15"/>
  <c r="D14" i="15"/>
  <c r="K16" i="17" s="1"/>
  <c r="C14" i="15"/>
  <c r="G27" i="9"/>
  <c r="G13" i="9"/>
  <c r="I30" i="10"/>
  <c r="I11" i="16"/>
  <c r="I15" i="16"/>
  <c r="C6" i="24" s="1"/>
  <c r="E11" i="16"/>
  <c r="D17" i="15"/>
  <c r="G10" i="9"/>
  <c r="E15" i="16"/>
  <c r="I7" i="7"/>
  <c r="K7" i="7"/>
  <c r="E7" i="7"/>
  <c r="C11" i="7"/>
  <c r="E11" i="7"/>
  <c r="K11" i="7"/>
  <c r="L11" i="7"/>
  <c r="M11" i="7" s="1"/>
  <c r="H20" i="17"/>
  <c r="K15" i="7"/>
  <c r="P15" i="7"/>
  <c r="C15" i="7"/>
  <c r="C9" i="7"/>
  <c r="U18" i="17"/>
  <c r="C8" i="7"/>
  <c r="R18" i="17"/>
  <c r="R16" i="17"/>
  <c r="C12" i="7"/>
  <c r="E9" i="7"/>
  <c r="P9" i="7"/>
  <c r="K9" i="7"/>
  <c r="L9" i="7"/>
  <c r="M9" i="7" s="1"/>
  <c r="P10" i="7"/>
  <c r="E10" i="7"/>
  <c r="I10" i="7"/>
  <c r="K10" i="7"/>
  <c r="L10" i="7"/>
  <c r="M10" i="7" s="1"/>
  <c r="C10" i="7"/>
  <c r="M18" i="17"/>
  <c r="M15" i="17"/>
  <c r="B16" i="17"/>
  <c r="G14" i="15"/>
  <c r="O16" i="17"/>
  <c r="B20" i="17"/>
  <c r="L41" i="8"/>
  <c r="G16" i="15"/>
  <c r="U16" i="17"/>
  <c r="U20" i="17"/>
  <c r="L43" i="8"/>
  <c r="B18" i="17"/>
  <c r="M16" i="17"/>
  <c r="H16" i="17"/>
  <c r="M14" i="9"/>
  <c r="X14" i="9" s="1"/>
  <c r="V14" i="9"/>
  <c r="J35" i="8"/>
  <c r="L35" i="8" s="1"/>
  <c r="C10" i="16"/>
  <c r="C14" i="16" s="1"/>
  <c r="L36" i="8"/>
  <c r="K32" i="8"/>
  <c r="D35" i="15"/>
  <c r="D39" i="15" s="1"/>
  <c r="B31" i="22"/>
  <c r="B45" i="22"/>
  <c r="V16" i="9"/>
  <c r="M16" i="9"/>
  <c r="X16" i="9" s="1"/>
  <c r="G15" i="9"/>
  <c r="J40" i="8"/>
  <c r="K40" i="8"/>
  <c r="L40" i="8" s="1"/>
  <c r="E38" i="15"/>
  <c r="E35" i="15"/>
  <c r="E39" i="15" s="1"/>
  <c r="F12" i="7"/>
  <c r="J38" i="8"/>
  <c r="L38" i="8" s="1"/>
  <c r="H47" i="2"/>
  <c r="U19" i="17"/>
  <c r="L13" i="7"/>
  <c r="M13" i="7" s="1"/>
  <c r="C4" i="7" l="1"/>
  <c r="P32" i="17"/>
  <c r="V7" i="9"/>
  <c r="P10" i="9"/>
  <c r="P9" i="9"/>
  <c r="P11" i="9"/>
  <c r="B12" i="7"/>
  <c r="F15" i="7"/>
  <c r="P5" i="9"/>
  <c r="P6" i="9"/>
  <c r="J33" i="8"/>
  <c r="L33" i="8" s="1"/>
  <c r="E4" i="7"/>
  <c r="P8" i="9"/>
  <c r="L32" i="17"/>
  <c r="R32" i="17"/>
  <c r="H32" i="17"/>
  <c r="J32" i="17"/>
  <c r="N32" i="17"/>
  <c r="E47" i="10"/>
  <c r="V8" i="9"/>
  <c r="P7" i="9"/>
  <c r="C41" i="19" a="1"/>
  <c r="C41" i="19" s="1"/>
  <c r="N8" i="29"/>
  <c r="N9" i="29" s="1"/>
  <c r="K8" i="7"/>
  <c r="E8" i="7"/>
  <c r="D12" i="15"/>
  <c r="C12" i="15"/>
  <c r="P7" i="7"/>
  <c r="K34" i="8"/>
  <c r="L34" i="8" s="1"/>
  <c r="Q4" i="7"/>
  <c r="I4" i="7"/>
  <c r="P4" i="7" s="1"/>
  <c r="D6" i="15"/>
  <c r="B8" i="17" s="1"/>
  <c r="E6" i="15"/>
  <c r="C2" i="7"/>
  <c r="C7" i="15"/>
  <c r="L32" i="8"/>
  <c r="H6" i="9"/>
  <c r="E4" i="22"/>
  <c r="E5" i="22" s="1"/>
  <c r="B7" i="22" s="1"/>
  <c r="B39" i="22" s="1"/>
  <c r="B40" i="22" s="1"/>
  <c r="K13" i="17"/>
  <c r="Q7" i="7"/>
  <c r="N11" i="7"/>
  <c r="M6" i="9"/>
  <c r="X6" i="9" s="1"/>
  <c r="Y6" i="9" s="1"/>
  <c r="C113" i="19" a="1"/>
  <c r="C113" i="19" s="1"/>
  <c r="O12" i="13"/>
  <c r="E5" i="7"/>
  <c r="C38" i="19" a="1"/>
  <c r="C38" i="19" s="1"/>
  <c r="K6" i="7"/>
  <c r="C6" i="7"/>
  <c r="I6" i="7"/>
  <c r="Q6" i="7" s="1"/>
  <c r="D7" i="15"/>
  <c r="B9" i="17" s="1"/>
  <c r="J7" i="7"/>
  <c r="F9" i="7"/>
  <c r="X9" i="7" s="1"/>
  <c r="F7" i="7"/>
  <c r="B7" i="7" s="1"/>
  <c r="P6" i="7"/>
  <c r="F6" i="7"/>
  <c r="A28" i="14"/>
  <c r="A34" i="14"/>
  <c r="Q52" i="2"/>
  <c r="Q46" i="2"/>
  <c r="D38" i="15"/>
  <c r="C11" i="16"/>
  <c r="C35" i="15"/>
  <c r="L35" i="15" s="1"/>
  <c r="L34" i="15" s="1"/>
  <c r="H25" i="9"/>
  <c r="P4" i="9"/>
  <c r="H26" i="9"/>
  <c r="G25" i="9"/>
  <c r="H10" i="9"/>
  <c r="H15" i="9"/>
  <c r="F4" i="7"/>
  <c r="B4" i="7" s="1"/>
  <c r="Q13" i="7"/>
  <c r="Q9" i="7"/>
  <c r="J9" i="7"/>
  <c r="I40" i="8"/>
  <c r="J2" i="7"/>
  <c r="J11" i="7"/>
  <c r="Q11" i="7"/>
  <c r="F8" i="7"/>
  <c r="B8" i="7" s="1"/>
  <c r="J8" i="7"/>
  <c r="X15" i="7"/>
  <c r="F14" i="7"/>
  <c r="H14" i="9"/>
  <c r="N13" i="7"/>
  <c r="R13" i="7" s="1"/>
  <c r="N9" i="7"/>
  <c r="E10" i="15"/>
  <c r="D10" i="15"/>
  <c r="J4" i="7"/>
  <c r="D8" i="15"/>
  <c r="C8" i="15"/>
  <c r="K3" i="7"/>
  <c r="C3" i="7"/>
  <c r="P3" i="7"/>
  <c r="J3" i="7"/>
  <c r="Q3" i="7"/>
  <c r="E3" i="7"/>
  <c r="K2" i="7"/>
  <c r="Q2" i="7"/>
  <c r="P2" i="7"/>
  <c r="E2" i="7"/>
  <c r="F2" i="7"/>
  <c r="F3" i="7"/>
  <c r="G29" i="7"/>
  <c r="C164" i="19" a="1"/>
  <c r="C164" i="19" s="1"/>
  <c r="O10" i="13"/>
  <c r="C115" i="19" a="1"/>
  <c r="C115" i="19" s="1"/>
  <c r="N14" i="13"/>
  <c r="C149" i="19" a="1"/>
  <c r="C149" i="19" s="1"/>
  <c r="M9" i="9"/>
  <c r="X9" i="9" s="1"/>
  <c r="Y9" i="9" s="1"/>
  <c r="V9" i="9"/>
  <c r="Y10" i="9"/>
  <c r="Y7" i="9"/>
  <c r="C30" i="19" a="1"/>
  <c r="C30" i="19" s="1"/>
  <c r="C5" i="19" a="1"/>
  <c r="C5" i="19" s="1"/>
  <c r="C118" i="19" a="1"/>
  <c r="C118" i="19" s="1"/>
  <c r="C80" i="19" a="1"/>
  <c r="C80" i="19" s="1"/>
  <c r="C160" i="19" a="1"/>
  <c r="C160" i="19" s="1"/>
  <c r="C58" i="19" a="1"/>
  <c r="C58" i="19" s="1"/>
  <c r="C156" i="19" a="1"/>
  <c r="C156" i="19" s="1"/>
  <c r="C135" i="19" a="1"/>
  <c r="C135" i="19" s="1"/>
  <c r="C94" i="19" a="1"/>
  <c r="C94" i="19" s="1"/>
  <c r="C45" i="19" a="1"/>
  <c r="C45" i="19" s="1"/>
  <c r="C74" i="19" a="1"/>
  <c r="C74" i="19" s="1"/>
  <c r="C116" i="19" a="1"/>
  <c r="C116" i="19" s="1"/>
  <c r="C17" i="19" a="1"/>
  <c r="C17" i="19" s="1"/>
  <c r="C191" i="19" a="1"/>
  <c r="C191" i="19" s="1"/>
  <c r="C110" i="19" a="1"/>
  <c r="C110" i="19" s="1"/>
  <c r="C124" i="19" a="1"/>
  <c r="C124" i="19" s="1"/>
  <c r="C167" i="19" a="1"/>
  <c r="C167" i="19" s="1"/>
  <c r="C157" i="19" a="1"/>
  <c r="C157" i="19" s="1"/>
  <c r="C152" i="19" a="1"/>
  <c r="C152" i="19" s="1"/>
  <c r="C62" i="19" a="1"/>
  <c r="C62" i="19" s="1"/>
  <c r="C14" i="19" a="1"/>
  <c r="C14" i="19" s="1"/>
  <c r="C100" i="19" a="1"/>
  <c r="C100" i="19" s="1"/>
  <c r="C182" i="19" a="1"/>
  <c r="C182" i="19" s="1"/>
  <c r="C158" i="19" a="1"/>
  <c r="C158" i="19" s="1"/>
  <c r="C171" i="19" a="1"/>
  <c r="C171" i="19" s="1"/>
  <c r="C185" i="19" a="1"/>
  <c r="C185" i="19" s="1"/>
  <c r="C20" i="19" a="1"/>
  <c r="C20" i="19" s="1"/>
  <c r="C93" i="19" a="1"/>
  <c r="C93" i="19" s="1"/>
  <c r="C193" i="19" a="1"/>
  <c r="C193" i="19" s="1"/>
  <c r="C34" i="19" a="1"/>
  <c r="C34" i="19" s="1"/>
  <c r="C142" i="19" a="1"/>
  <c r="C142" i="19" s="1"/>
  <c r="Q8" i="7"/>
  <c r="C99" i="19" a="1"/>
  <c r="C99" i="19" s="1"/>
  <c r="C145" i="19" a="1"/>
  <c r="C145" i="19" s="1"/>
  <c r="C126" i="19" a="1"/>
  <c r="C126" i="19" s="1"/>
  <c r="C174" i="19" a="1"/>
  <c r="C174" i="19" s="1"/>
  <c r="R15" i="17"/>
  <c r="B15" i="17"/>
  <c r="K15" i="17"/>
  <c r="O15" i="17"/>
  <c r="U15" i="17"/>
  <c r="G13" i="15"/>
  <c r="H15" i="17"/>
  <c r="AC31" i="2"/>
  <c r="H24" i="9"/>
  <c r="M5" i="9"/>
  <c r="X5" i="9" s="1"/>
  <c r="Y5" i="9" s="1"/>
  <c r="B13" i="17"/>
  <c r="K19" i="17"/>
  <c r="M19" i="17"/>
  <c r="H19" i="17"/>
  <c r="B19" i="17"/>
  <c r="O19" i="17"/>
  <c r="R19" i="17"/>
  <c r="G17" i="15"/>
  <c r="C19" i="19" a="1"/>
  <c r="C19" i="19" s="1"/>
  <c r="C24" i="19" a="1"/>
  <c r="C24" i="19" s="1"/>
  <c r="C83" i="19" a="1"/>
  <c r="C83" i="19" s="1"/>
  <c r="C53" i="19" a="1"/>
  <c r="C53" i="19" s="1"/>
  <c r="C154" i="19" a="1"/>
  <c r="C154" i="19" s="1"/>
  <c r="B25" i="22"/>
  <c r="L4" i="7"/>
  <c r="M4" i="7" s="1"/>
  <c r="N4" i="7" s="1"/>
  <c r="D19" i="15"/>
  <c r="C19" i="15"/>
  <c r="E11" i="15"/>
  <c r="M13" i="17" s="1"/>
  <c r="C11" i="15"/>
  <c r="H13" i="17" s="1"/>
  <c r="K14" i="7"/>
  <c r="E14" i="7"/>
  <c r="I14" i="7"/>
  <c r="J14" i="7" s="1"/>
  <c r="P14" i="7"/>
  <c r="X14" i="7" s="1"/>
  <c r="L14" i="7"/>
  <c r="M14" i="7" s="1"/>
  <c r="C14" i="7"/>
  <c r="B14" i="7" s="1"/>
  <c r="Q14" i="7"/>
  <c r="H27" i="9"/>
  <c r="G24" i="9"/>
  <c r="H16" i="9"/>
  <c r="Y16" i="9"/>
  <c r="G16" i="9"/>
  <c r="G12" i="9"/>
  <c r="H12" i="9"/>
  <c r="Y12" i="9"/>
  <c r="G8" i="9"/>
  <c r="H8" i="9"/>
  <c r="Y8" i="9"/>
  <c r="I42" i="8"/>
  <c r="G17" i="7"/>
  <c r="F13" i="7"/>
  <c r="AC12" i="2"/>
  <c r="C6" i="9"/>
  <c r="C5" i="9"/>
  <c r="K44" i="8"/>
  <c r="J44" i="8"/>
  <c r="L44" i="8" s="1"/>
  <c r="C39" i="15"/>
  <c r="F35" i="15"/>
  <c r="M35" i="15"/>
  <c r="M34" i="15" s="1"/>
  <c r="K35" i="15"/>
  <c r="L8" i="7"/>
  <c r="M8" i="7" s="1"/>
  <c r="N8" i="7" s="1"/>
  <c r="B9" i="7"/>
  <c r="R20" i="17"/>
  <c r="M20" i="17"/>
  <c r="G18" i="15"/>
  <c r="K20" i="17"/>
  <c r="Y17" i="9"/>
  <c r="Q5" i="7"/>
  <c r="F5" i="7"/>
  <c r="K5" i="7"/>
  <c r="L5" i="7" s="1"/>
  <c r="M5" i="7" s="1"/>
  <c r="P5" i="7"/>
  <c r="J5" i="7"/>
  <c r="C5" i="7"/>
  <c r="B11" i="7"/>
  <c r="C15" i="16"/>
  <c r="Y14" i="9"/>
  <c r="N10" i="7"/>
  <c r="C17" i="24"/>
  <c r="C10" i="24"/>
  <c r="C11" i="24" s="1"/>
  <c r="E12" i="7"/>
  <c r="I12" i="7"/>
  <c r="Q12" i="7" s="1"/>
  <c r="E14" i="16"/>
  <c r="I14" i="16"/>
  <c r="C101" i="19" a="1"/>
  <c r="C101" i="19" s="1"/>
  <c r="C178" i="19" a="1"/>
  <c r="C178" i="19" s="1"/>
  <c r="C44" i="19" a="1"/>
  <c r="C44" i="19" s="1"/>
  <c r="C112" i="19" a="1"/>
  <c r="C112" i="19" s="1"/>
  <c r="C28" i="19" a="1"/>
  <c r="C28" i="19" s="1"/>
  <c r="C29" i="19" a="1"/>
  <c r="C29" i="19" s="1"/>
  <c r="C117" i="19" a="1"/>
  <c r="C117" i="19" s="1"/>
  <c r="C40" i="19" a="1"/>
  <c r="C40" i="19" s="1"/>
  <c r="C71" i="19" a="1"/>
  <c r="C71" i="19" s="1"/>
  <c r="C170" i="19" a="1"/>
  <c r="C170" i="19" s="1"/>
  <c r="C32" i="19" a="1"/>
  <c r="C32" i="19" s="1"/>
  <c r="C12" i="19" a="1"/>
  <c r="C12" i="19" s="1"/>
  <c r="C184" i="19" a="1"/>
  <c r="C184" i="19" s="1"/>
  <c r="C16" i="19" a="1"/>
  <c r="C16" i="19" s="1"/>
  <c r="C169" i="19" a="1"/>
  <c r="C169" i="19" s="1"/>
  <c r="C183" i="19" a="1"/>
  <c r="C183" i="19" s="1"/>
  <c r="C88" i="19" a="1"/>
  <c r="C88" i="19" s="1"/>
  <c r="C108" i="19" a="1"/>
  <c r="C108" i="19" s="1"/>
  <c r="C198" i="19" a="1"/>
  <c r="C198" i="19" s="1"/>
  <c r="C23" i="19" a="1"/>
  <c r="C23" i="19" s="1"/>
  <c r="C180" i="19" a="1"/>
  <c r="C180" i="19" s="1"/>
  <c r="C61" i="19" a="1"/>
  <c r="C61" i="19" s="1"/>
  <c r="C90" i="19" a="1"/>
  <c r="C90" i="19" s="1"/>
  <c r="C196" i="19" a="1"/>
  <c r="C196" i="19" s="1"/>
  <c r="C64" i="19" a="1"/>
  <c r="C64" i="19" s="1"/>
  <c r="C105" i="19" a="1"/>
  <c r="C105" i="19" s="1"/>
  <c r="C123" i="19" a="1"/>
  <c r="C123" i="19" s="1"/>
  <c r="C151" i="19" a="1"/>
  <c r="C151" i="19" s="1"/>
  <c r="C42" i="19" a="1"/>
  <c r="C42" i="19" s="1"/>
  <c r="C70" i="19" a="1"/>
  <c r="C70" i="19" s="1"/>
  <c r="C104" i="19" a="1"/>
  <c r="C104" i="19" s="1"/>
  <c r="C127" i="19" a="1"/>
  <c r="C127" i="19" s="1"/>
  <c r="C21" i="19" a="1"/>
  <c r="C21" i="19" s="1"/>
  <c r="C131" i="19" a="1"/>
  <c r="C131" i="19" s="1"/>
  <c r="C9" i="19" a="1"/>
  <c r="C9" i="19" s="1"/>
  <c r="C7" i="19" a="1"/>
  <c r="C7" i="19" s="1"/>
  <c r="C52" i="19" a="1"/>
  <c r="C52" i="19" s="1"/>
  <c r="C56" i="19" a="1"/>
  <c r="C56" i="19" s="1"/>
  <c r="C72" i="19" a="1"/>
  <c r="C72" i="19" s="1"/>
  <c r="C26" i="19" a="1"/>
  <c r="C26" i="19" s="1"/>
  <c r="C119" i="19" a="1"/>
  <c r="C119" i="19" s="1"/>
  <c r="C95" i="19" a="1"/>
  <c r="C95" i="19" s="1"/>
  <c r="C96" i="19" a="1"/>
  <c r="C96" i="19" s="1"/>
  <c r="C82" i="19" a="1"/>
  <c r="C82" i="19" s="1"/>
  <c r="C3" i="19" a="1"/>
  <c r="C3" i="19" s="1"/>
  <c r="C85" i="19" a="1"/>
  <c r="C85" i="19" s="1"/>
  <c r="C137" i="19" a="1"/>
  <c r="C137" i="19" s="1"/>
  <c r="C134" i="19" a="1"/>
  <c r="C134" i="19" s="1"/>
  <c r="C1" i="19"/>
  <c r="C69" i="19" a="1"/>
  <c r="C69" i="19" s="1"/>
  <c r="C150" i="19" a="1"/>
  <c r="C150" i="19" s="1"/>
  <c r="C128" i="19" a="1"/>
  <c r="C128" i="19" s="1"/>
  <c r="C60" i="19" a="1"/>
  <c r="C60" i="19" s="1"/>
  <c r="C73" i="19" a="1"/>
  <c r="C73" i="19" s="1"/>
  <c r="C133" i="19" a="1"/>
  <c r="C133" i="19" s="1"/>
  <c r="C186" i="19" a="1"/>
  <c r="C186" i="19" s="1"/>
  <c r="C146" i="19" a="1"/>
  <c r="C146" i="19" s="1"/>
  <c r="C192" i="19" a="1"/>
  <c r="C192" i="19" s="1"/>
  <c r="C31" i="19" a="1"/>
  <c r="C31" i="19" s="1"/>
  <c r="C10" i="19" a="1"/>
  <c r="C10" i="19" s="1"/>
  <c r="C194" i="19" a="1"/>
  <c r="C194" i="19" s="1"/>
  <c r="C120" i="19" a="1"/>
  <c r="C120" i="19" s="1"/>
  <c r="C144" i="19" a="1"/>
  <c r="C144" i="19" s="1"/>
  <c r="C122" i="19" a="1"/>
  <c r="C122" i="19" s="1"/>
  <c r="C15" i="19" a="1"/>
  <c r="C15" i="19" s="1"/>
  <c r="C39" i="19" a="1"/>
  <c r="C39" i="19" s="1"/>
  <c r="C8" i="19" a="1"/>
  <c r="C8" i="19" s="1"/>
  <c r="C187" i="19" a="1"/>
  <c r="C187" i="19" s="1"/>
  <c r="C121" i="19" a="1"/>
  <c r="C121" i="19" s="1"/>
  <c r="C141" i="19" a="1"/>
  <c r="C141" i="19" s="1"/>
  <c r="C107" i="19" a="1"/>
  <c r="C107" i="19" s="1"/>
  <c r="C153" i="19" a="1"/>
  <c r="C153" i="19" s="1"/>
  <c r="C59" i="19" a="1"/>
  <c r="C59" i="19" s="1"/>
  <c r="C199" i="19" a="1"/>
  <c r="C199" i="19" s="1"/>
  <c r="C189" i="19" a="1"/>
  <c r="C189" i="19" s="1"/>
  <c r="C97" i="19" a="1"/>
  <c r="C97" i="19" s="1"/>
  <c r="C130" i="19" a="1"/>
  <c r="C130" i="19" s="1"/>
  <c r="C18" i="19" a="1"/>
  <c r="C18" i="19" s="1"/>
  <c r="C22" i="19" a="1"/>
  <c r="C22" i="19" s="1"/>
  <c r="C50" i="19" a="1"/>
  <c r="C50" i="19" s="1"/>
  <c r="C111" i="19" a="1"/>
  <c r="C111" i="19" s="1"/>
  <c r="C2" i="19" a="1"/>
  <c r="C2" i="19" s="1"/>
  <c r="C106" i="19" a="1"/>
  <c r="C106" i="19" s="1"/>
  <c r="C11" i="19" a="1"/>
  <c r="C11" i="19" s="1"/>
  <c r="C197" i="19" a="1"/>
  <c r="C197" i="19" s="1"/>
  <c r="C161" i="19" a="1"/>
  <c r="C161" i="19" s="1"/>
  <c r="H13" i="9"/>
  <c r="C139" i="19" a="1"/>
  <c r="C139" i="19" s="1"/>
  <c r="C9" i="24"/>
  <c r="O20" i="17"/>
  <c r="E13" i="15"/>
  <c r="P13" i="7"/>
  <c r="X13" i="7" s="1"/>
  <c r="K12" i="7"/>
  <c r="B15" i="7"/>
  <c r="C13" i="7"/>
  <c r="B13" i="7" s="1"/>
  <c r="E13" i="7"/>
  <c r="P12" i="7"/>
  <c r="X12" i="7" s="1"/>
  <c r="E19" i="15"/>
  <c r="C165" i="19" a="1"/>
  <c r="C165" i="19" s="1"/>
  <c r="C87" i="19" a="1"/>
  <c r="C87" i="19" s="1"/>
  <c r="C55" i="19" a="1"/>
  <c r="C55" i="19" s="1"/>
  <c r="C67" i="19" a="1"/>
  <c r="C67" i="19" s="1"/>
  <c r="C6" i="19" a="1"/>
  <c r="C6" i="19" s="1"/>
  <c r="C175" i="19" a="1"/>
  <c r="C175" i="19" s="1"/>
  <c r="C54" i="19" a="1"/>
  <c r="C54" i="19" s="1"/>
  <c r="C33" i="19" a="1"/>
  <c r="C33" i="19" s="1"/>
  <c r="C35" i="19" a="1"/>
  <c r="C35" i="19" s="1"/>
  <c r="C114" i="19" a="1"/>
  <c r="C114" i="19" s="1"/>
  <c r="C125" i="19" a="1"/>
  <c r="C125" i="19" s="1"/>
  <c r="C47" i="19" a="1"/>
  <c r="C47" i="19" s="1"/>
  <c r="C129" i="19" a="1"/>
  <c r="C129" i="19" s="1"/>
  <c r="C102" i="19" a="1"/>
  <c r="C102" i="19" s="1"/>
  <c r="C76" i="19" a="1"/>
  <c r="C76" i="19" s="1"/>
  <c r="F9" i="14"/>
  <c r="N4" i="13"/>
  <c r="O6" i="13"/>
  <c r="N10" i="13"/>
  <c r="C6" i="28"/>
  <c r="O4" i="13"/>
  <c r="N12" i="13"/>
  <c r="N6" i="13"/>
  <c r="O8" i="13"/>
  <c r="N8" i="13"/>
  <c r="U28" i="2"/>
  <c r="H15" i="16"/>
  <c r="G15" i="16"/>
  <c r="P24" i="9"/>
  <c r="P28" i="9"/>
  <c r="I15" i="7"/>
  <c r="J15" i="7"/>
  <c r="Q15" i="7"/>
  <c r="D11" i="16"/>
  <c r="D15" i="16" s="1"/>
  <c r="D14" i="16"/>
  <c r="I39" i="8"/>
  <c r="J10" i="7"/>
  <c r="F10" i="7"/>
  <c r="X10" i="7" s="1"/>
  <c r="Q10" i="7"/>
  <c r="J42" i="8"/>
  <c r="L42" i="8" s="1"/>
  <c r="K42" i="8"/>
  <c r="G14" i="16"/>
  <c r="E15" i="7"/>
  <c r="L15" i="7"/>
  <c r="M15" i="7" s="1"/>
  <c r="N15" i="7" s="1"/>
  <c r="D15" i="15"/>
  <c r="H18" i="17"/>
  <c r="K18" i="17"/>
  <c r="O18" i="17"/>
  <c r="C9" i="15"/>
  <c r="D9" i="15"/>
  <c r="C43" i="19" a="1"/>
  <c r="C43" i="19" s="1"/>
  <c r="C168" i="19" a="1"/>
  <c r="C168" i="19" s="1"/>
  <c r="C162" i="19" a="1"/>
  <c r="C162" i="19" s="1"/>
  <c r="C65" i="19" a="1"/>
  <c r="C65" i="19" s="1"/>
  <c r="C109" i="19" a="1"/>
  <c r="C109" i="19" s="1"/>
  <c r="C75" i="19" a="1"/>
  <c r="C75" i="19" s="1"/>
  <c r="C176" i="19" a="1"/>
  <c r="C176" i="19" s="1"/>
  <c r="C92" i="19" a="1"/>
  <c r="C92" i="19" s="1"/>
  <c r="C163" i="19" a="1"/>
  <c r="C163" i="19" s="1"/>
  <c r="C103" i="19" a="1"/>
  <c r="C103" i="19" s="1"/>
  <c r="C84" i="19" a="1"/>
  <c r="C84" i="19" s="1"/>
  <c r="C179" i="19" a="1"/>
  <c r="C179" i="19" s="1"/>
  <c r="C98" i="19" a="1"/>
  <c r="C98" i="19" s="1"/>
  <c r="C190" i="19" a="1"/>
  <c r="C190" i="19" s="1"/>
  <c r="C91" i="19" a="1"/>
  <c r="C91" i="19" s="1"/>
  <c r="C159" i="19" a="1"/>
  <c r="C159" i="19" s="1"/>
  <c r="C132" i="19" a="1"/>
  <c r="C132" i="19" s="1"/>
  <c r="C81" i="19" a="1"/>
  <c r="C81" i="19" s="1"/>
  <c r="C57" i="19" a="1"/>
  <c r="C57" i="19" s="1"/>
  <c r="C166" i="19" a="1"/>
  <c r="C166" i="19" s="1"/>
  <c r="C78" i="19" a="1"/>
  <c r="C78" i="19" s="1"/>
  <c r="C79" i="19" a="1"/>
  <c r="C79" i="19" s="1"/>
  <c r="C143" i="19" a="1"/>
  <c r="C143" i="19" s="1"/>
  <c r="C48" i="19" a="1"/>
  <c r="C48" i="19" s="1"/>
  <c r="C4" i="19" a="1"/>
  <c r="C4" i="19" s="1"/>
  <c r="C89" i="19" a="1"/>
  <c r="C89" i="19" s="1"/>
  <c r="C68" i="19" a="1"/>
  <c r="C68" i="19" s="1"/>
  <c r="C49" i="19" a="1"/>
  <c r="C49" i="19" s="1"/>
  <c r="C36" i="19" a="1"/>
  <c r="C36" i="19" s="1"/>
  <c r="C46" i="19" a="1"/>
  <c r="C46" i="19" s="1"/>
  <c r="C172" i="19" a="1"/>
  <c r="C172" i="19" s="1"/>
  <c r="C51" i="19" a="1"/>
  <c r="C51" i="19" s="1"/>
  <c r="C138" i="19" a="1"/>
  <c r="C138" i="19" s="1"/>
  <c r="C25" i="19" a="1"/>
  <c r="C25" i="19" s="1"/>
  <c r="C86" i="19" a="1"/>
  <c r="C86" i="19" s="1"/>
  <c r="C147" i="19" a="1"/>
  <c r="C147" i="19" s="1"/>
  <c r="C13" i="19" a="1"/>
  <c r="C13" i="19" s="1"/>
  <c r="C136" i="19" a="1"/>
  <c r="C136" i="19" s="1"/>
  <c r="C37" i="19" a="1"/>
  <c r="C37" i="19" s="1"/>
  <c r="C140" i="19" a="1"/>
  <c r="C140" i="19" s="1"/>
  <c r="C77" i="19" a="1"/>
  <c r="C77" i="19" s="1"/>
  <c r="C148" i="19" a="1"/>
  <c r="C148" i="19" s="1"/>
  <c r="C181" i="19" a="1"/>
  <c r="C181" i="19" s="1"/>
  <c r="C66" i="19" a="1"/>
  <c r="C66" i="19" s="1"/>
  <c r="C188" i="19" a="1"/>
  <c r="C188" i="19" s="1"/>
  <c r="C200" i="19" a="1"/>
  <c r="C200" i="19" s="1"/>
  <c r="C173" i="19" a="1"/>
  <c r="C173" i="19" s="1"/>
  <c r="C177" i="19" a="1"/>
  <c r="C177" i="19" s="1"/>
  <c r="C195" i="19" a="1"/>
  <c r="C195" i="19" s="1"/>
  <c r="C63" i="19" a="1"/>
  <c r="C63" i="19" s="1"/>
  <c r="C27" i="19" a="1"/>
  <c r="C27" i="19" s="1"/>
  <c r="C155" i="19" a="1"/>
  <c r="C155" i="19" s="1"/>
  <c r="I38" i="15"/>
  <c r="I39" i="15"/>
  <c r="G38" i="15"/>
  <c r="Y13" i="9"/>
  <c r="H9" i="9"/>
  <c r="G9" i="9"/>
  <c r="Y18" i="9"/>
  <c r="J39" i="8"/>
  <c r="K39" i="8"/>
  <c r="J37" i="8"/>
  <c r="K37" i="8"/>
  <c r="P25" i="9"/>
  <c r="H38" i="15"/>
  <c r="H7" i="9"/>
  <c r="P11" i="7"/>
  <c r="X11" i="7" s="1"/>
  <c r="O37" i="7"/>
  <c r="K34" i="7" s="1"/>
  <c r="K8" i="17" l="1"/>
  <c r="G29" i="9"/>
  <c r="B2" i="7"/>
  <c r="L3" i="7"/>
  <c r="M3" i="7" s="1"/>
  <c r="N3" i="7" s="1"/>
  <c r="R3" i="7" s="1"/>
  <c r="L2" i="7"/>
  <c r="M2" i="7" s="1"/>
  <c r="N2" i="7" s="1"/>
  <c r="R2" i="7" s="1"/>
  <c r="B29" i="22"/>
  <c r="B30" i="22" s="1"/>
  <c r="N30" i="22" s="1"/>
  <c r="E15" i="22"/>
  <c r="B42" i="22"/>
  <c r="B46" i="22" s="1"/>
  <c r="B49" i="22" s="1"/>
  <c r="O13" i="7"/>
  <c r="G6" i="15"/>
  <c r="R8" i="17" s="1"/>
  <c r="H8" i="17"/>
  <c r="M8" i="17"/>
  <c r="O8" i="7"/>
  <c r="R11" i="7"/>
  <c r="O11" i="7"/>
  <c r="L6" i="7"/>
  <c r="M6" i="7" s="1"/>
  <c r="N6" i="7" s="1"/>
  <c r="L7" i="7"/>
  <c r="M7" i="7" s="1"/>
  <c r="N7" i="7" s="1"/>
  <c r="R7" i="7" s="1"/>
  <c r="G8" i="29"/>
  <c r="K14" i="17"/>
  <c r="G12" i="15"/>
  <c r="R14" i="17" s="1"/>
  <c r="B14" i="17"/>
  <c r="M14" i="17"/>
  <c r="H14" i="17"/>
  <c r="G8" i="15"/>
  <c r="R10" i="17" s="1"/>
  <c r="X2" i="7"/>
  <c r="D40" i="22"/>
  <c r="N40" i="22"/>
  <c r="C40" i="22"/>
  <c r="O40" i="22" s="1"/>
  <c r="E6" i="22"/>
  <c r="B32" i="22"/>
  <c r="B35" i="22" s="1"/>
  <c r="X7" i="7"/>
  <c r="G11" i="15"/>
  <c r="R13" i="17" s="1"/>
  <c r="K9" i="17"/>
  <c r="J6" i="7"/>
  <c r="B6" i="7"/>
  <c r="X6" i="7"/>
  <c r="M9" i="17"/>
  <c r="G7" i="15"/>
  <c r="R9" i="17" s="1"/>
  <c r="H9" i="17"/>
  <c r="R9" i="7"/>
  <c r="X4" i="7"/>
  <c r="J15" i="16"/>
  <c r="F17" i="7"/>
  <c r="C5" i="21" s="1"/>
  <c r="K22" i="21" s="1"/>
  <c r="X8" i="7"/>
  <c r="G19" i="9"/>
  <c r="O9" i="7"/>
  <c r="G10" i="15"/>
  <c r="R12" i="17" s="1"/>
  <c r="B12" i="17"/>
  <c r="K12" i="17"/>
  <c r="M12" i="17"/>
  <c r="H12" i="17"/>
  <c r="B10" i="17"/>
  <c r="H10" i="17"/>
  <c r="K10" i="17"/>
  <c r="M10" i="17"/>
  <c r="Q21" i="7"/>
  <c r="X5" i="7"/>
  <c r="B3" i="7"/>
  <c r="X3" i="7"/>
  <c r="N14" i="7"/>
  <c r="O14" i="7" s="1"/>
  <c r="O4" i="7"/>
  <c r="R4" i="7"/>
  <c r="M39" i="15"/>
  <c r="M38" i="15" s="1"/>
  <c r="L39" i="15"/>
  <c r="L38" i="15" s="1"/>
  <c r="F15" i="16"/>
  <c r="K15" i="16"/>
  <c r="P21" i="7"/>
  <c r="H29" i="9"/>
  <c r="O15" i="7"/>
  <c r="R15" i="7"/>
  <c r="J12" i="7"/>
  <c r="B5" i="7"/>
  <c r="N5" i="7"/>
  <c r="O5" i="7" s="1"/>
  <c r="R21" i="17"/>
  <c r="U21" i="17"/>
  <c r="H21" i="17"/>
  <c r="K21" i="17"/>
  <c r="O21" i="17"/>
  <c r="M21" i="17"/>
  <c r="G19" i="15"/>
  <c r="B21" i="17"/>
  <c r="P16" i="7"/>
  <c r="B10" i="7"/>
  <c r="L39" i="8"/>
  <c r="K11" i="17"/>
  <c r="B11" i="17"/>
  <c r="G9" i="15"/>
  <c r="R11" i="17" s="1"/>
  <c r="M11" i="17"/>
  <c r="H11" i="17"/>
  <c r="K11" i="16"/>
  <c r="L12" i="7"/>
  <c r="M12" i="7" s="1"/>
  <c r="N12" i="7" s="1"/>
  <c r="J39" i="15"/>
  <c r="R8" i="7"/>
  <c r="C24" i="28"/>
  <c r="AC24" i="28" s="1"/>
  <c r="I27" i="28" s="1"/>
  <c r="AD16" i="28" s="1"/>
  <c r="AA4" i="28"/>
  <c r="AC6" i="28" s="1"/>
  <c r="AC12" i="28" s="1"/>
  <c r="AC13" i="28" s="1"/>
  <c r="I12" i="28" s="1"/>
  <c r="H19" i="9"/>
  <c r="L37" i="8"/>
  <c r="K17" i="17"/>
  <c r="B17" i="17"/>
  <c r="R17" i="17"/>
  <c r="O17" i="17"/>
  <c r="U17" i="17"/>
  <c r="G15" i="15"/>
  <c r="H17" i="17"/>
  <c r="M17" i="17"/>
  <c r="O10" i="7"/>
  <c r="R10" i="7"/>
  <c r="C16" i="24"/>
  <c r="F11" i="16"/>
  <c r="F39" i="15"/>
  <c r="K39" i="15"/>
  <c r="B16" i="22"/>
  <c r="B17" i="22" s="1"/>
  <c r="D18" i="8"/>
  <c r="C5" i="12"/>
  <c r="C7" i="12" s="1"/>
  <c r="E20" i="15"/>
  <c r="F19" i="15" s="1"/>
  <c r="H19" i="15" s="1"/>
  <c r="G32" i="9" l="1"/>
  <c r="C30" i="22"/>
  <c r="O3" i="7"/>
  <c r="O2" i="7"/>
  <c r="B43" i="22"/>
  <c r="B44" i="22" s="1"/>
  <c r="N44" i="22" s="1"/>
  <c r="D30" i="22"/>
  <c r="O7" i="7"/>
  <c r="R6" i="7"/>
  <c r="J21" i="7"/>
  <c r="R14" i="7"/>
  <c r="O6" i="7"/>
  <c r="R5" i="7"/>
  <c r="A19" i="10"/>
  <c r="I28" i="10" s="1"/>
  <c r="I29" i="10" s="1"/>
  <c r="D13" i="8"/>
  <c r="K7" i="21"/>
  <c r="K14" i="21" s="1"/>
  <c r="D8" i="8"/>
  <c r="D24" i="8" s="1"/>
  <c r="X16" i="7"/>
  <c r="L45" i="8"/>
  <c r="J11" i="8"/>
  <c r="AC18" i="2" s="1"/>
  <c r="B16" i="7"/>
  <c r="B17" i="7" s="1"/>
  <c r="G50" i="2" s="1"/>
  <c r="F11" i="15"/>
  <c r="F13" i="15"/>
  <c r="H13" i="15" s="1"/>
  <c r="K40" i="21"/>
  <c r="K23" i="21"/>
  <c r="K48" i="21"/>
  <c r="C28" i="24"/>
  <c r="C21" i="24"/>
  <c r="O12" i="7"/>
  <c r="R12" i="7"/>
  <c r="O30" i="22"/>
  <c r="J12" i="8"/>
  <c r="AC37" i="2" s="1"/>
  <c r="AF16" i="28"/>
  <c r="U27" i="28"/>
  <c r="J16" i="7"/>
  <c r="F17" i="15"/>
  <c r="H17" i="15" s="1"/>
  <c r="F15" i="15"/>
  <c r="H15" i="15" s="1"/>
  <c r="F12" i="15"/>
  <c r="F18" i="15"/>
  <c r="H18" i="15" s="1"/>
  <c r="F14" i="15"/>
  <c r="H14" i="15" s="1"/>
  <c r="F16" i="15"/>
  <c r="H16" i="15" s="1"/>
  <c r="F7" i="15"/>
  <c r="F6" i="15"/>
  <c r="F10" i="15"/>
  <c r="F8" i="15"/>
  <c r="F9" i="15"/>
  <c r="H32" i="9"/>
  <c r="D12" i="8" s="1"/>
  <c r="C44" i="22" l="1"/>
  <c r="O44" i="22" s="1"/>
  <c r="D44" i="22"/>
  <c r="O21" i="7"/>
  <c r="H12" i="15"/>
  <c r="U14" i="17" s="1"/>
  <c r="O14" i="17"/>
  <c r="R16" i="7"/>
  <c r="S16" i="7" s="1"/>
  <c r="S17" i="7" s="1"/>
  <c r="C5" i="25" s="1"/>
  <c r="M8" i="25" s="1"/>
  <c r="M9" i="25" s="1"/>
  <c r="H11" i="15"/>
  <c r="U13" i="17" s="1"/>
  <c r="O13" i="17"/>
  <c r="M23" i="8"/>
  <c r="D20" i="8"/>
  <c r="D25" i="8" s="1"/>
  <c r="J25" i="8" s="1"/>
  <c r="J13" i="8"/>
  <c r="B18" i="7"/>
  <c r="H50" i="2" s="1"/>
  <c r="O12" i="17"/>
  <c r="H10" i="15"/>
  <c r="U12" i="17" s="1"/>
  <c r="Q17" i="9"/>
  <c r="Q7" i="9"/>
  <c r="Q5" i="9"/>
  <c r="Q8" i="9"/>
  <c r="Q24" i="9"/>
  <c r="Q15" i="9"/>
  <c r="Q12" i="9"/>
  <c r="E22" i="8"/>
  <c r="Q14" i="9"/>
  <c r="Q16" i="9"/>
  <c r="Q23" i="7"/>
  <c r="Q27" i="9"/>
  <c r="Q11" i="9"/>
  <c r="Q10" i="9"/>
  <c r="Q25" i="9"/>
  <c r="AC32" i="2"/>
  <c r="Q13" i="9"/>
  <c r="Q4" i="9"/>
  <c r="Q26" i="9"/>
  <c r="Q28" i="9"/>
  <c r="Q6" i="9"/>
  <c r="AC13" i="2"/>
  <c r="Q18" i="9"/>
  <c r="Q9" i="9"/>
  <c r="F23" i="7"/>
  <c r="F20" i="15"/>
  <c r="H6" i="15"/>
  <c r="O8" i="17"/>
  <c r="O23" i="7"/>
  <c r="D19" i="7"/>
  <c r="H9" i="15"/>
  <c r="U11" i="17" s="1"/>
  <c r="O11" i="17"/>
  <c r="H7" i="15"/>
  <c r="U9" i="17" s="1"/>
  <c r="O9" i="17"/>
  <c r="D27" i="8"/>
  <c r="P23" i="7"/>
  <c r="J23" i="7"/>
  <c r="K49" i="21"/>
  <c r="K41" i="21"/>
  <c r="O10" i="17"/>
  <c r="H8" i="15"/>
  <c r="U10" i="17" s="1"/>
  <c r="D22" i="8" l="1"/>
  <c r="C10" i="21" s="1"/>
  <c r="L14" i="25"/>
  <c r="M16" i="25" s="1"/>
  <c r="G15" i="25" s="1"/>
  <c r="G9" i="25"/>
  <c r="M11" i="25"/>
  <c r="F14" i="14"/>
  <c r="AA41" i="2"/>
  <c r="B52" i="2"/>
  <c r="M6" i="13"/>
  <c r="P6" i="13" s="1"/>
  <c r="G42" i="2" s="1"/>
  <c r="H54" i="2"/>
  <c r="O24" i="7"/>
  <c r="G54" i="2"/>
  <c r="D3" i="14" s="1"/>
  <c r="H20" i="15"/>
  <c r="B22" i="15" s="1"/>
  <c r="U8" i="17"/>
  <c r="C8" i="21"/>
  <c r="W4" i="17"/>
  <c r="G47" i="2"/>
  <c r="M34" i="10"/>
  <c r="I36" i="10" s="1"/>
  <c r="N25" i="8"/>
  <c r="N26" i="8" s="1"/>
  <c r="B47" i="2" s="1"/>
  <c r="H24" i="8"/>
  <c r="J24" i="8" s="1"/>
  <c r="F11" i="14" s="1"/>
  <c r="C3" i="12"/>
  <c r="C8" i="12" s="1"/>
  <c r="C9" i="12" s="1"/>
  <c r="M54" i="2" s="1"/>
  <c r="A55" i="14" s="1"/>
  <c r="M4" i="13"/>
  <c r="P4" i="13" s="1"/>
  <c r="G41" i="2" s="1"/>
  <c r="H52" i="2"/>
  <c r="H51" i="2" s="1"/>
  <c r="K23" i="7"/>
  <c r="L24" i="7"/>
  <c r="G53" i="2" s="1"/>
  <c r="Z2" i="9"/>
  <c r="AA2" i="9" s="1"/>
  <c r="G52" i="2"/>
  <c r="A3" i="14" s="1"/>
  <c r="G55" i="2"/>
  <c r="B18" i="22"/>
  <c r="B19" i="22" s="1"/>
  <c r="B20" i="22" s="1"/>
  <c r="M50" i="2"/>
  <c r="Q8" i="13" s="1"/>
  <c r="U29" i="2"/>
  <c r="V29" i="2" s="1"/>
  <c r="D11" i="7"/>
  <c r="D4" i="7"/>
  <c r="D10" i="7"/>
  <c r="D3" i="7"/>
  <c r="D8" i="7"/>
  <c r="D7" i="7"/>
  <c r="D6" i="7"/>
  <c r="D5" i="7"/>
  <c r="D2" i="7"/>
  <c r="D9" i="7"/>
  <c r="D12" i="7"/>
  <c r="D13" i="7"/>
  <c r="D14" i="7"/>
  <c r="D15" i="7"/>
  <c r="E20" i="8"/>
  <c r="AC16" i="2"/>
  <c r="D23" i="8" l="1"/>
  <c r="B51" i="2" s="1"/>
  <c r="K15" i="21"/>
  <c r="L15" i="21" s="1"/>
  <c r="P22" i="7"/>
  <c r="K28" i="21" s="1"/>
  <c r="K29" i="21" s="1"/>
  <c r="G16" i="25"/>
  <c r="G14" i="25"/>
  <c r="G11" i="25"/>
  <c r="M17" i="25"/>
  <c r="D16" i="7"/>
  <c r="D21" i="7" s="1"/>
  <c r="M53" i="2" s="1"/>
  <c r="N53" i="2" s="1"/>
  <c r="O25" i="8"/>
  <c r="O26" i="8" s="1"/>
  <c r="C7" i="21"/>
  <c r="S4" i="17"/>
  <c r="C28" i="15" s="1"/>
  <c r="E30" i="15" s="1"/>
  <c r="C31" i="15" s="1"/>
  <c r="M25" i="8"/>
  <c r="M26" i="8" s="1"/>
  <c r="B46" i="2" s="1"/>
  <c r="K24" i="21"/>
  <c r="K42" i="21" s="1"/>
  <c r="K21" i="21"/>
  <c r="K39" i="21" s="1"/>
  <c r="K20" i="21"/>
  <c r="K46" i="21" s="1"/>
  <c r="A20" i="10"/>
  <c r="N29" i="10" s="1"/>
  <c r="I37" i="10" s="1"/>
  <c r="G46" i="2"/>
  <c r="W13" i="2"/>
  <c r="W21" i="2"/>
  <c r="W27" i="2"/>
  <c r="W17" i="2"/>
  <c r="W24" i="2"/>
  <c r="W19" i="2"/>
  <c r="W20" i="2"/>
  <c r="W26" i="2"/>
  <c r="W14" i="2"/>
  <c r="W18" i="2"/>
  <c r="W16" i="2"/>
  <c r="W22" i="2"/>
  <c r="W23" i="2"/>
  <c r="W25" i="2"/>
  <c r="W15" i="2"/>
  <c r="N50" i="2"/>
  <c r="R8" i="13"/>
  <c r="O37" i="2" s="1"/>
  <c r="Z5" i="9"/>
  <c r="Z8" i="9"/>
  <c r="Z12" i="9"/>
  <c r="Z13" i="9"/>
  <c r="Z11" i="9"/>
  <c r="Z7" i="9"/>
  <c r="Z15" i="9"/>
  <c r="Z14" i="9"/>
  <c r="Z18" i="9"/>
  <c r="Z6" i="9"/>
  <c r="Z16" i="9"/>
  <c r="Z10" i="9"/>
  <c r="Z17" i="9"/>
  <c r="Z4" i="9"/>
  <c r="Z9" i="9"/>
  <c r="C4" i="24"/>
  <c r="C4" i="16"/>
  <c r="E4" i="16" s="1"/>
  <c r="D4" i="14"/>
  <c r="M8" i="13"/>
  <c r="J47" i="2"/>
  <c r="J49" i="2" s="1"/>
  <c r="G49" i="2"/>
  <c r="I47" i="2"/>
  <c r="E20" i="22"/>
  <c r="E21" i="22" s="1"/>
  <c r="H21" i="22" s="1"/>
  <c r="B47" i="22"/>
  <c r="B48" i="22" s="1"/>
  <c r="B21" i="22"/>
  <c r="B33" i="22"/>
  <c r="B34" i="22" s="1"/>
  <c r="E16" i="22"/>
  <c r="M45" i="2" s="1"/>
  <c r="A4" i="14"/>
  <c r="T14" i="7"/>
  <c r="J22" i="7" l="1"/>
  <c r="K22" i="7" s="1"/>
  <c r="K8" i="21"/>
  <c r="K10" i="21" s="1"/>
  <c r="K13" i="21" s="1"/>
  <c r="C6" i="21"/>
  <c r="E42" i="10"/>
  <c r="E43" i="10" s="1"/>
  <c r="E48" i="10" s="1"/>
  <c r="I46" i="2" s="1"/>
  <c r="A26" i="14" s="1"/>
  <c r="M14" i="13"/>
  <c r="P14" i="13" s="1"/>
  <c r="M31" i="2" s="1"/>
  <c r="C30" i="15"/>
  <c r="K50" i="21"/>
  <c r="E28" i="15"/>
  <c r="E69" i="15" s="1"/>
  <c r="K38" i="21"/>
  <c r="K25" i="21"/>
  <c r="K43" i="21" s="1"/>
  <c r="K47" i="21"/>
  <c r="B42" i="15"/>
  <c r="Z20" i="9"/>
  <c r="C34" i="22"/>
  <c r="B36" i="22"/>
  <c r="B37" i="22" s="1"/>
  <c r="H55" i="2"/>
  <c r="P8" i="13"/>
  <c r="O41" i="2" s="1"/>
  <c r="C26" i="16"/>
  <c r="D26" i="16"/>
  <c r="G26" i="16"/>
  <c r="E26" i="16"/>
  <c r="I26" i="16"/>
  <c r="H26" i="16"/>
  <c r="C48" i="22"/>
  <c r="B50" i="22"/>
  <c r="B51" i="22" s="1"/>
  <c r="I49" i="2"/>
  <c r="A31" i="14" s="1"/>
  <c r="B49" i="2"/>
  <c r="Q25" i="7"/>
  <c r="P39" i="21"/>
  <c r="N39" i="21" s="1"/>
  <c r="P41" i="21" s="1"/>
  <c r="B24" i="22"/>
  <c r="K31" i="21"/>
  <c r="K30" i="21"/>
  <c r="K32" i="21" s="1"/>
  <c r="C31" i="24"/>
  <c r="AC31" i="17" s="1"/>
  <c r="C24" i="24"/>
  <c r="AC33" i="17" s="1"/>
  <c r="L25" i="7" l="1"/>
  <c r="G51" i="2"/>
  <c r="F12" i="14" s="1"/>
  <c r="K9" i="21"/>
  <c r="K11" i="21" s="1"/>
  <c r="K12" i="21" s="1"/>
  <c r="K16" i="21" s="1"/>
  <c r="C69" i="15"/>
  <c r="C68" i="15" s="1"/>
  <c r="E54" i="15"/>
  <c r="E32" i="16" s="1"/>
  <c r="L29" i="17" s="1"/>
  <c r="G54" i="15"/>
  <c r="G55" i="15" s="1"/>
  <c r="D54" i="15"/>
  <c r="D55" i="15" s="1"/>
  <c r="D69" i="15"/>
  <c r="D68" i="15" s="1"/>
  <c r="C54" i="15"/>
  <c r="C55" i="15" s="1"/>
  <c r="I54" i="15"/>
  <c r="H32" i="16" s="1"/>
  <c r="R29" i="17" s="1"/>
  <c r="H54" i="15"/>
  <c r="G32" i="16" s="1"/>
  <c r="P29" i="17" s="1"/>
  <c r="N40" i="21"/>
  <c r="Q41" i="21" s="1"/>
  <c r="K34" i="21"/>
  <c r="K35" i="21" s="1"/>
  <c r="K33" i="21"/>
  <c r="R18" i="9"/>
  <c r="S18" i="9" s="1"/>
  <c r="R15" i="9"/>
  <c r="S15" i="9" s="1"/>
  <c r="U9" i="9"/>
  <c r="R11" i="9"/>
  <c r="S11" i="9" s="1"/>
  <c r="U7" i="9"/>
  <c r="R10" i="9"/>
  <c r="S10" i="9" s="1"/>
  <c r="U11" i="9"/>
  <c r="R27" i="9"/>
  <c r="S27" i="9" s="1"/>
  <c r="U18" i="9"/>
  <c r="U5" i="9"/>
  <c r="V5" i="9" s="1"/>
  <c r="R7" i="9"/>
  <c r="S7" i="9" s="1"/>
  <c r="U8" i="9"/>
  <c r="U12" i="9"/>
  <c r="R14" i="9"/>
  <c r="S14" i="9" s="1"/>
  <c r="R9" i="9"/>
  <c r="S9" i="9" s="1"/>
  <c r="R6" i="9"/>
  <c r="S6" i="9" s="1"/>
  <c r="U6" i="9"/>
  <c r="U15" i="9"/>
  <c r="R5" i="9"/>
  <c r="S5" i="9" s="1"/>
  <c r="R13" i="9"/>
  <c r="S13" i="9" s="1"/>
  <c r="U13" i="9"/>
  <c r="U14" i="9"/>
  <c r="U10" i="9"/>
  <c r="R16" i="9"/>
  <c r="S16" i="9" s="1"/>
  <c r="U16" i="9"/>
  <c r="R4" i="9"/>
  <c r="S4" i="9" s="1"/>
  <c r="R12" i="9"/>
  <c r="S12" i="9" s="1"/>
  <c r="R8" i="9"/>
  <c r="S8" i="9" s="1"/>
  <c r="R17" i="9"/>
  <c r="S17" i="9" s="1"/>
  <c r="R26" i="9"/>
  <c r="S26" i="9" s="1"/>
  <c r="U17" i="9"/>
  <c r="U4" i="9"/>
  <c r="V4" i="9" s="1"/>
  <c r="R24" i="9"/>
  <c r="S24" i="9" s="1"/>
  <c r="R28" i="9"/>
  <c r="S28" i="9" s="1"/>
  <c r="R25" i="9"/>
  <c r="S25" i="9" s="1"/>
  <c r="H27" i="16"/>
  <c r="G33" i="16"/>
  <c r="N37" i="22"/>
  <c r="D37" i="22"/>
  <c r="C37" i="22"/>
  <c r="H40" i="22"/>
  <c r="I27" i="16"/>
  <c r="H33" i="16"/>
  <c r="E27" i="16"/>
  <c r="E33" i="16"/>
  <c r="D33" i="16"/>
  <c r="D27" i="16"/>
  <c r="C51" i="22"/>
  <c r="D51" i="22"/>
  <c r="N51" i="22"/>
  <c r="H41" i="22"/>
  <c r="C33" i="16"/>
  <c r="C27" i="16"/>
  <c r="AC41" i="17"/>
  <c r="Q50" i="2" s="1"/>
  <c r="AC40" i="17"/>
  <c r="A30" i="14" s="1"/>
  <c r="C24" i="22"/>
  <c r="H43" i="22" s="1"/>
  <c r="B26" i="22"/>
  <c r="B27" i="22" s="1"/>
  <c r="F33" i="16"/>
  <c r="G27" i="16"/>
  <c r="E55" i="15" l="1"/>
  <c r="H55" i="15"/>
  <c r="F32" i="16"/>
  <c r="N29" i="17" s="1"/>
  <c r="I55" i="15"/>
  <c r="L55" i="15" s="1"/>
  <c r="V19" i="9"/>
  <c r="C32" i="16"/>
  <c r="H29" i="17" s="1"/>
  <c r="D32" i="16"/>
  <c r="J29" i="17" s="1"/>
  <c r="J27" i="16"/>
  <c r="T25" i="9"/>
  <c r="L33" i="2"/>
  <c r="T12" i="9"/>
  <c r="R21" i="2"/>
  <c r="R14" i="2"/>
  <c r="T5" i="9"/>
  <c r="R18" i="2"/>
  <c r="T9" i="9"/>
  <c r="R16" i="2"/>
  <c r="T7" i="9"/>
  <c r="R17" i="2"/>
  <c r="T8" i="9"/>
  <c r="T13" i="9"/>
  <c r="R22" i="2"/>
  <c r="H34" i="16"/>
  <c r="R31" i="17" s="1"/>
  <c r="R30" i="17"/>
  <c r="G34" i="16"/>
  <c r="P31" i="17" s="1"/>
  <c r="P30" i="17"/>
  <c r="H39" i="22"/>
  <c r="H44" i="22" s="1"/>
  <c r="E44" i="2" s="1"/>
  <c r="N27" i="22"/>
  <c r="C27" i="22"/>
  <c r="D27" i="22"/>
  <c r="F27" i="16"/>
  <c r="K27" i="16"/>
  <c r="F55" i="15"/>
  <c r="O37" i="22"/>
  <c r="F47" i="22"/>
  <c r="L36" i="2"/>
  <c r="T28" i="9"/>
  <c r="T26" i="9"/>
  <c r="L34" i="2"/>
  <c r="R13" i="2"/>
  <c r="T4" i="9"/>
  <c r="T14" i="9"/>
  <c r="R23" i="2"/>
  <c r="R19" i="2"/>
  <c r="T10" i="9"/>
  <c r="T15" i="9"/>
  <c r="R24" i="2"/>
  <c r="T16" i="9"/>
  <c r="R25" i="2"/>
  <c r="T6" i="9"/>
  <c r="R15" i="2"/>
  <c r="L35" i="2"/>
  <c r="T27" i="9"/>
  <c r="T11" i="9"/>
  <c r="R20" i="2"/>
  <c r="J30" i="17"/>
  <c r="D34" i="16"/>
  <c r="J31" i="17" s="1"/>
  <c r="E34" i="16"/>
  <c r="L31" i="17" s="1"/>
  <c r="L30" i="17"/>
  <c r="N30" i="17"/>
  <c r="J33" i="16"/>
  <c r="F34" i="16"/>
  <c r="H30" i="17"/>
  <c r="C34" i="16"/>
  <c r="H31" i="17" s="1"/>
  <c r="O51" i="22"/>
  <c r="F48" i="22"/>
  <c r="K17" i="21"/>
  <c r="K18" i="21" s="1"/>
  <c r="C21" i="21" s="1"/>
  <c r="M20" i="21"/>
  <c r="T24" i="9"/>
  <c r="L32" i="2"/>
  <c r="T17" i="9"/>
  <c r="R26" i="2"/>
  <c r="R27" i="2"/>
  <c r="T18" i="9"/>
  <c r="L29" i="21"/>
  <c r="M38" i="21"/>
  <c r="M46" i="21"/>
  <c r="M47" i="21" s="1"/>
  <c r="M48" i="21" s="1"/>
  <c r="M49" i="21" s="1"/>
  <c r="L34" i="21"/>
  <c r="J32" i="16" l="1"/>
  <c r="M55" i="15"/>
  <c r="B58" i="15" s="1"/>
  <c r="K55" i="15"/>
  <c r="J55" i="15"/>
  <c r="H42" i="17"/>
  <c r="A59" i="14" s="1"/>
  <c r="J34" i="16"/>
  <c r="U31" i="17" s="1"/>
  <c r="N31" i="17"/>
  <c r="H44" i="17" s="1"/>
  <c r="A61" i="14" s="1"/>
  <c r="L37" i="2"/>
  <c r="AC33" i="2" s="1"/>
  <c r="AC36" i="2" s="1"/>
  <c r="AC38" i="2" s="1"/>
  <c r="M21" i="21"/>
  <c r="M22" i="21"/>
  <c r="M23" i="21" s="1"/>
  <c r="T30" i="9"/>
  <c r="X32" i="9" s="1"/>
  <c r="X34" i="9" s="1"/>
  <c r="M38" i="9" s="1"/>
  <c r="M39" i="9" s="1"/>
  <c r="H43" i="17"/>
  <c r="A60" i="14" s="1"/>
  <c r="T20" i="9"/>
  <c r="M54" i="15"/>
  <c r="M39" i="21"/>
  <c r="M40" i="21"/>
  <c r="M41" i="21" s="1"/>
  <c r="R28" i="2"/>
  <c r="AC14" i="2" s="1"/>
  <c r="AC17" i="2" s="1"/>
  <c r="AC19" i="2" s="1"/>
  <c r="F46" i="22"/>
  <c r="F49" i="22" s="1"/>
  <c r="E45" i="2" s="1"/>
  <c r="O27" i="22"/>
  <c r="F69" i="15"/>
  <c r="F68" i="15" s="1"/>
  <c r="L54" i="15"/>
  <c r="G69" i="15" l="1"/>
  <c r="B72" i="15" s="1"/>
  <c r="Y31" i="17" s="1"/>
  <c r="H59" i="14" s="1"/>
  <c r="M24" i="21"/>
  <c r="M25" i="21" s="1"/>
  <c r="M26" i="21" s="1"/>
  <c r="M51" i="2"/>
  <c r="T32" i="9"/>
  <c r="T34" i="9" s="1"/>
  <c r="I38" i="9" s="1"/>
  <c r="I39" i="9" s="1"/>
  <c r="M52" i="2" s="1"/>
  <c r="AC20" i="2"/>
  <c r="AC21" i="2" s="1"/>
  <c r="AC24" i="2"/>
  <c r="AC43" i="2"/>
  <c r="AC39" i="2"/>
  <c r="AC40" i="2" s="1"/>
  <c r="M42" i="21"/>
  <c r="M43" i="21" s="1"/>
  <c r="M44" i="21" s="1"/>
  <c r="G68" i="15" l="1"/>
  <c r="AC25" i="2"/>
  <c r="AC22" i="2"/>
  <c r="AC44" i="2"/>
  <c r="AC41" i="2"/>
  <c r="M12" i="13"/>
  <c r="P12" i="13" s="1"/>
  <c r="M30" i="2" s="1"/>
  <c r="D5" i="14"/>
  <c r="N52" i="2"/>
  <c r="R55" i="2"/>
  <c r="N51" i="2"/>
  <c r="R54" i="2"/>
  <c r="M10" i="13"/>
  <c r="P10" i="13" s="1"/>
  <c r="O42" i="2" s="1"/>
  <c r="A5" i="14"/>
  <c r="AC46" i="2" l="1"/>
  <c r="AE31" i="2" s="1"/>
  <c r="AC45" i="2"/>
  <c r="AC27" i="2"/>
  <c r="AE12" i="2" s="1"/>
  <c r="AC26" i="2"/>
  <c r="AE32" i="2" l="1"/>
  <c r="AE33" i="2" s="1"/>
  <c r="AE35" i="2" s="1"/>
  <c r="AE36" i="2" s="1"/>
  <c r="AE13" i="2"/>
  <c r="AE14" i="2" s="1"/>
  <c r="AE16" i="2" s="1"/>
  <c r="AE17" i="2" s="1"/>
  <c r="AE34" i="2" l="1"/>
  <c r="AE37" i="2" s="1"/>
  <c r="AE38" i="2" s="1"/>
  <c r="AE40" i="2" s="1"/>
  <c r="AE15" i="2"/>
  <c r="AE41" i="2" l="1"/>
  <c r="AE18" i="2"/>
  <c r="AE19" i="2" s="1"/>
  <c r="AE20" i="2" s="1"/>
  <c r="AE39" i="2"/>
  <c r="AE42" i="2" l="1"/>
  <c r="AE43" i="2" s="1"/>
  <c r="AE44" i="2" s="1"/>
  <c r="AE46" i="2" s="1"/>
  <c r="AE23" i="2"/>
  <c r="AE21" i="2"/>
  <c r="AE22" i="2"/>
  <c r="AG33" i="2" l="1"/>
  <c r="AG32" i="2"/>
  <c r="AG34" i="2"/>
  <c r="AG36" i="2"/>
  <c r="AG35" i="2"/>
  <c r="AE24" i="2"/>
  <c r="AE25" i="2" s="1"/>
  <c r="AE27" i="2" s="1"/>
  <c r="AG24" i="2" s="1"/>
  <c r="AG19" i="2" l="1"/>
  <c r="AG27" i="2"/>
  <c r="AG20" i="2"/>
  <c r="AG16" i="2"/>
  <c r="AG26" i="2"/>
  <c r="AG25" i="2"/>
  <c r="AG13" i="2"/>
  <c r="AG22" i="2"/>
  <c r="AG21" i="2"/>
  <c r="AG23" i="2"/>
  <c r="AG18" i="2"/>
  <c r="AG15" i="2"/>
  <c r="AG17" i="2"/>
  <c r="AG14" i="2"/>
  <c r="AG28"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Mick</author>
  </authors>
  <commentList>
    <comment ref="C5" authorId="0" shapeId="0" xr:uid="{00000000-0006-0000-0100-000001000000}">
      <text>
        <r>
          <rPr>
            <b/>
            <sz val="9"/>
            <color indexed="81"/>
            <rFont val="Tahoma"/>
            <family val="2"/>
          </rPr>
          <t xml:space="preserve">Strike Hot Liquor Tank Deadspace is the amount of Water that will be left behind in the Hot Liquor Tank that feeds the Strike water for the mash because of the non-drainable space at the bottom of the HLT.  To determine your Dead Space, add a known volume of water to your HLT and drain.  Measure the volume of water that runs off. Subtract this volume from the initial volume. The result is Dead Space.
</t>
        </r>
        <r>
          <rPr>
            <sz val="9"/>
            <color indexed="81"/>
            <rFont val="Tahoma"/>
            <family val="2"/>
          </rPr>
          <t xml:space="preserve">
</t>
        </r>
        <r>
          <rPr>
            <b/>
            <sz val="9"/>
            <color indexed="81"/>
            <rFont val="Tahoma"/>
            <family val="2"/>
          </rPr>
          <t xml:space="preserve">Note: If the Strike Hot Liquor Tank and the Sparge Hot Liquor Tank are the same physical unit, enter the deadspace in both parameters and select 'Y' from the Dropdown. </t>
        </r>
      </text>
    </comment>
    <comment ref="H5" authorId="0" shapeId="0" xr:uid="{00000000-0006-0000-0100-000002000000}">
      <text>
        <r>
          <rPr>
            <b/>
            <sz val="9"/>
            <color indexed="81"/>
            <rFont val="Tahoma"/>
            <family val="2"/>
          </rPr>
          <t xml:space="preserve">Grain absorption loss is the amount of wort that will be left behind in the mash tun due to being trapped in the grain husks.  0.12 gallons per lb of grain is a reasonable default value until you have dialed in your system.
</t>
        </r>
        <r>
          <rPr>
            <sz val="9"/>
            <color indexed="81"/>
            <rFont val="Tahoma"/>
            <family val="2"/>
          </rPr>
          <t xml:space="preserve">
</t>
        </r>
      </text>
    </comment>
    <comment ref="O5" authorId="0" shapeId="0" xr:uid="{00000000-0006-0000-0100-000003000000}">
      <text>
        <r>
          <rPr>
            <b/>
            <sz val="9"/>
            <color indexed="81"/>
            <rFont val="Tahoma"/>
            <family val="2"/>
          </rPr>
          <t>This is the amount of wort (water) that boils away in one hour with your kettle and heat source.</t>
        </r>
        <r>
          <rPr>
            <sz val="9"/>
            <color indexed="81"/>
            <rFont val="Tahoma"/>
            <family val="2"/>
          </rPr>
          <t xml:space="preserve">
</t>
        </r>
      </text>
    </comment>
    <comment ref="V5" authorId="0" shapeId="0" xr:uid="{00000000-0006-0000-0100-000004000000}">
      <text>
        <r>
          <rPr>
            <b/>
            <sz val="9"/>
            <color indexed="81"/>
            <rFont val="Tahoma"/>
            <family val="2"/>
          </rPr>
          <t>Leaf Hop Trub Loss and Pellet Hop Trub Loss account for the wort that will be trapped in the hops and thus will not make it to the fermenter.</t>
        </r>
        <r>
          <rPr>
            <sz val="9"/>
            <color indexed="81"/>
            <rFont val="Tahoma"/>
            <family val="2"/>
          </rPr>
          <t xml:space="preserve">
</t>
        </r>
      </text>
    </comment>
    <comment ref="AA5" authorId="0" shapeId="0" xr:uid="{00000000-0006-0000-0100-000005000000}">
      <text>
        <r>
          <rPr>
            <b/>
            <sz val="9"/>
            <color indexed="81"/>
            <rFont val="Tahoma"/>
            <family val="2"/>
          </rPr>
          <t>Leaf Hop Trub Loss and Pellet Hop Trub Loss account for the wort that will be trapped in the hops and thus will not make it to the fermenter.</t>
        </r>
        <r>
          <rPr>
            <sz val="9"/>
            <color indexed="81"/>
            <rFont val="Tahoma"/>
            <family val="2"/>
          </rPr>
          <t xml:space="preserve">
</t>
        </r>
      </text>
    </comment>
    <comment ref="C8" authorId="0" shapeId="0" xr:uid="{00000000-0006-0000-0100-000006000000}">
      <text>
        <r>
          <rPr>
            <b/>
            <sz val="9"/>
            <color indexed="81"/>
            <rFont val="Tahoma"/>
            <family val="2"/>
          </rPr>
          <t xml:space="preserve">Sparge Hot Liquor Tank Deadspace is the amount of Water that will be left behind in the Hot Liquor Tank that feeds the Sparge water for the sparge because of the non-drainable space at the bottom of the HLT.  To determine your Dead Space, add a known volume of water to your HLT and drain.  Measure the volume of water that runs off. Subtract this volume from the initial volume. The result is Dead Space.
Note: If the Strike Hot Liquor Tank and the Sparge Hot Liquor Tank are the same physical unit, enter the deadspace in both parameters and select 'Y' from the Dropdown. 
</t>
        </r>
      </text>
    </comment>
    <comment ref="H8" authorId="0" shapeId="0" xr:uid="{00000000-0006-0000-0100-000007000000}">
      <text>
        <r>
          <rPr>
            <b/>
            <sz val="9"/>
            <color indexed="81"/>
            <rFont val="Tahoma"/>
            <family val="2"/>
          </rPr>
          <t>This is the total amount of water (without any grains) your Mash Tun can Hold.</t>
        </r>
        <r>
          <rPr>
            <sz val="9"/>
            <color indexed="81"/>
            <rFont val="Tahoma"/>
            <family val="2"/>
          </rPr>
          <t xml:space="preserve">
</t>
        </r>
      </text>
    </comment>
    <comment ref="O8" authorId="0" shapeId="0" xr:uid="{00000000-0006-0000-0100-000008000000}">
      <text>
        <r>
          <rPr>
            <b/>
            <sz val="9"/>
            <color indexed="81"/>
            <rFont val="Tahoma"/>
            <family val="2"/>
          </rPr>
          <t>This is the amount of water that typically evaporates away from your wort during the time it is cooling.  This is a new parameter in BrewCipher in version 3.5.  If you have previously dialed-in your system without it, you may want to leave it at 0. 
Note: This is NOT the natural contraction of the wort due to being at a lower temperature.</t>
        </r>
      </text>
    </comment>
    <comment ref="V8" authorId="0" shapeId="0" xr:uid="{00000000-0006-0000-0100-000009000000}">
      <text>
        <r>
          <rPr>
            <b/>
            <sz val="9"/>
            <color indexed="81"/>
            <rFont val="Tahoma"/>
            <family val="2"/>
          </rPr>
          <t xml:space="preserve">Kettle Dead Space is the amount of wort that will be left behind in the Kettle Tun because of the non-drainable space at the bottom.  To determine your Dead Space, add a known volume of water to your kettle and drain by your normal method.  Measure the volume of water that runs off. Subtract this volume from the initial volume. The result is Dead Space loss.
</t>
        </r>
        <r>
          <rPr>
            <sz val="9"/>
            <color indexed="81"/>
            <rFont val="Tahoma"/>
            <family val="2"/>
          </rPr>
          <t xml:space="preserve">
</t>
        </r>
      </text>
    </comment>
    <comment ref="AA8" authorId="0" shapeId="0" xr:uid="{00000000-0006-0000-0100-00000A000000}">
      <text>
        <r>
          <rPr>
            <b/>
            <sz val="9"/>
            <color indexed="81"/>
            <rFont val="Tahoma"/>
            <family val="2"/>
          </rPr>
          <t xml:space="preserve">Hose/Pump/Siphon Loss is the amount of wort lost in the hosing and/or pump when transferring wort from the kettle to the Fermenter. </t>
        </r>
        <r>
          <rPr>
            <sz val="9"/>
            <color indexed="81"/>
            <rFont val="Tahoma"/>
            <family val="2"/>
          </rPr>
          <t xml:space="preserve">
</t>
        </r>
      </text>
    </comment>
    <comment ref="C11" authorId="0" shapeId="0" xr:uid="{00000000-0006-0000-0100-00000B000000}">
      <text>
        <r>
          <rPr>
            <b/>
            <sz val="9"/>
            <color indexed="81"/>
            <rFont val="Tahoma"/>
            <family val="2"/>
          </rPr>
          <t xml:space="preserve">If the Strike Hot Liquor Tank and the Sparge Hot Liquor Tank are the same unit, select 'Y'.  This will inform the calculations that whatever deadspace is filled with Strike Water will </t>
        </r>
        <r>
          <rPr>
            <b/>
            <i/>
            <sz val="9"/>
            <color indexed="81"/>
            <rFont val="Tahoma"/>
            <family val="2"/>
          </rPr>
          <t>not</t>
        </r>
        <r>
          <rPr>
            <b/>
            <sz val="9"/>
            <color indexed="81"/>
            <rFont val="Tahoma"/>
            <family val="2"/>
          </rPr>
          <t xml:space="preserve"> need to be refilled when Sparge Water is Added. </t>
        </r>
        <r>
          <rPr>
            <sz val="9"/>
            <color indexed="81"/>
            <rFont val="Tahoma"/>
            <family val="2"/>
          </rPr>
          <t xml:space="preserve">
</t>
        </r>
        <r>
          <rPr>
            <b/>
            <sz val="9"/>
            <color indexed="81"/>
            <rFont val="Tahoma"/>
            <family val="2"/>
          </rPr>
          <t xml:space="preserve">Select 'N' if each HLT is a separate unit. or if you don't use a HLT for strike and/or sparge.
</t>
        </r>
      </text>
    </comment>
    <comment ref="H11" authorId="0" shapeId="0" xr:uid="{00000000-0006-0000-0100-00000C000000}">
      <text>
        <r>
          <rPr>
            <b/>
            <sz val="9"/>
            <color indexed="81"/>
            <rFont val="Tahoma"/>
            <family val="2"/>
          </rPr>
          <t>Mash Tun Dead Space is the amount of wort that will be left behind in the Mash Tun because of the non-drainable space at the bottom.  
Quick and Dirty Measurement for a typical False Bottom setup: To determine your Dead Space, add a known volume of water to your mash tun (no grain), and drain as with a normal lauter.  Measure the volume of water that runs off. Subtract this volume from the initial volume. The result is Dead Space loss.
A better way to determine the dead space, particularly if you do not have a false bottom: Make a batch of wort by mashing in your tun.  Measure the difference between the runoff volume and the original volume of water.  Then subtract grain absorption at about 0.12 gallons per pound.  Enter the result in the Dead Space parameter.</t>
        </r>
        <r>
          <rPr>
            <sz val="9"/>
            <color indexed="81"/>
            <rFont val="Tahoma"/>
            <family val="2"/>
          </rPr>
          <t xml:space="preserve">
</t>
        </r>
      </text>
    </comment>
    <comment ref="V11" authorId="0" shapeId="0" xr:uid="{00000000-0006-0000-0100-00000D000000}">
      <text>
        <r>
          <rPr>
            <b/>
            <sz val="9"/>
            <color indexed="81"/>
            <rFont val="Tahoma"/>
            <family val="2"/>
          </rPr>
          <t>Hops Remain In Kettle Deadpace?...means after you drain your kettle, are the hops in the kettle deadspace?   
If Yes, the calculation will ensure that the same wort loss is not counted for both hop absorption and kettle deadspace loss.
If No, the losses are additive.  (Answer 'N' if the hops are removed (e.g. via a hop bag) or blocked above the deadspace by a false bottom.)</t>
        </r>
        <r>
          <rPr>
            <sz val="9"/>
            <color indexed="81"/>
            <rFont val="Tahoma"/>
            <family val="2"/>
          </rPr>
          <t xml:space="preserve">
</t>
        </r>
      </text>
    </comment>
    <comment ref="C17" authorId="0" shapeId="0" xr:uid="{00000000-0006-0000-0100-00000E000000}">
      <text>
        <r>
          <rPr>
            <b/>
            <sz val="9"/>
            <color indexed="81"/>
            <rFont val="Tahoma"/>
            <family val="2"/>
          </rPr>
          <t>Mash Tun Initial Heat Absorption factor accounts for the thermal mass of the mash tun.  It's expressed in terms of the volume of water (in GALLONS or LITERS) that would have the same heat capacity, thus allowing it to be used in standard strike water and sparge water temperature calculations. I have measured my Coleman Xtreme 52 quart cooler to have an approximate value of 0.74 Gallons.  If you consistently overshoot your intended mash temps, decrease this value.  If you consistently undershoot your desired mash temps, increase it.</t>
        </r>
        <r>
          <rPr>
            <sz val="9"/>
            <color indexed="81"/>
            <rFont val="Tahoma"/>
            <family val="2"/>
          </rPr>
          <t xml:space="preserve">
If using Metric (rather than U.S.) measures, the Coleman Extreme would be equivalent to about 2.8 Liters.  Be sure to enter this value in Gallons if using U.S. measurements and in Liters if using Metric.  
</t>
        </r>
      </text>
    </comment>
    <comment ref="H17" authorId="0" shapeId="0" xr:uid="{00000000-0006-0000-0100-00000F000000}">
      <text>
        <r>
          <rPr>
            <b/>
            <sz val="9"/>
            <color indexed="81"/>
            <rFont val="Tahoma"/>
            <family val="2"/>
          </rPr>
          <t>Mash Tun Heat Loss per Hour accounts for the drop in mash temperature over a 60 minute mash time.   If your measured Mashout temps are significantly below 168F, increase this value. If higher than 168F, decrease it.  (Assuming initial mash temps are on target.)</t>
        </r>
        <r>
          <rPr>
            <sz val="9"/>
            <color indexed="81"/>
            <rFont val="Tahoma"/>
            <family val="2"/>
          </rPr>
          <t xml:space="preserve">
</t>
        </r>
      </text>
    </comment>
    <comment ref="O17" authorId="0" shapeId="0" xr:uid="{00000000-0006-0000-0100-000010000000}">
      <text>
        <r>
          <rPr>
            <b/>
            <sz val="9"/>
            <color indexed="81"/>
            <rFont val="Tahoma"/>
            <family val="2"/>
          </rPr>
          <t>If you mash using the BIAB method, select 'Y' from the dropdown.  This will force all of the water to be in the first infusion.  In this case, the Water to Grain Ratio on the Recip tab will be ignored.</t>
        </r>
        <r>
          <rPr>
            <sz val="9"/>
            <color indexed="81"/>
            <rFont val="Tahoma"/>
            <family val="2"/>
          </rPr>
          <t xml:space="preserve">
</t>
        </r>
        <r>
          <rPr>
            <b/>
            <sz val="9"/>
            <color indexed="81"/>
            <rFont val="Tahoma"/>
            <family val="2"/>
          </rPr>
          <t>If you do BIAB, but do NOT include all your water in the first infusion, select 'N' from the dropdown.</t>
        </r>
      </text>
    </comment>
    <comment ref="V17" authorId="0" shapeId="0" xr:uid="{00000000-0006-0000-0100-000011000000}">
      <text>
        <r>
          <rPr>
            <b/>
            <sz val="9"/>
            <color indexed="81"/>
            <rFont val="Tahoma"/>
            <family val="2"/>
          </rPr>
          <t xml:space="preserve">Select here whether you brew using U.S. measurement standards or Metric.
Note 1: If you select U.S., most inputs/outputs will use U.S. standards, but some will use metric where it makes sense (like milliliters and grams for small very quantities).
Note 2: If you switch from one system to the other, you will need to recalculate and re-input your entries.  This parameter indicates how the formulae should treat the input and the format for the output.  It's not in iteslf a conversion calculator. </t>
        </r>
      </text>
    </comment>
    <comment ref="AA17" authorId="0" shapeId="0" xr:uid="{00000000-0006-0000-0100-000012000000}">
      <text>
        <r>
          <rPr>
            <b/>
            <sz val="9"/>
            <color indexed="81"/>
            <rFont val="Tahoma"/>
            <family val="2"/>
          </rPr>
          <t xml:space="preserve">Select here whether you measure gravity in degrees Plato or use the Specific Gravity scale.
</t>
        </r>
      </text>
    </comment>
    <comment ref="C23" authorId="0" shapeId="0" xr:uid="{00000000-0006-0000-0100-000013000000}">
      <text>
        <r>
          <rPr>
            <b/>
            <sz val="9"/>
            <color indexed="81"/>
            <rFont val="Tahoma"/>
            <family val="2"/>
          </rPr>
          <t>Select 'Stir Plate' if you have one.  Otherwise select Periodic Shaking.</t>
        </r>
        <r>
          <rPr>
            <sz val="9"/>
            <color indexed="81"/>
            <rFont val="Tahoma"/>
            <family val="2"/>
          </rPr>
          <t xml:space="preserve">
</t>
        </r>
      </text>
    </comment>
    <comment ref="H23" authorId="0" shapeId="0" xr:uid="{00000000-0006-0000-0100-000014000000}">
      <text>
        <r>
          <rPr>
            <b/>
            <sz val="9"/>
            <color indexed="81"/>
            <rFont val="Tahoma"/>
            <family val="2"/>
          </rPr>
          <t xml:space="preserve">This is the target pitch rate for Ales.  BrewCipher will determine the starter size(s) and number of steps needed to achieve it.  The recommended value is 750,000.  This parameter should be changed by advanced users only. </t>
        </r>
        <r>
          <rPr>
            <sz val="9"/>
            <color indexed="81"/>
            <rFont val="Tahoma"/>
            <family val="2"/>
          </rPr>
          <t xml:space="preserve">
</t>
        </r>
      </text>
    </comment>
    <comment ref="O23" authorId="0" shapeId="0" xr:uid="{00000000-0006-0000-0100-000015000000}">
      <text>
        <r>
          <rPr>
            <b/>
            <sz val="9"/>
            <color indexed="81"/>
            <rFont val="Tahoma"/>
            <family val="2"/>
          </rPr>
          <t xml:space="preserve">This is the target pitch rate for Lagers.  BrewCipher will determine the starter size(s) and number of steps needed to achieve it.   The recommended value is 1,500,000.   This parameter should be changed by advanced users only. 
</t>
        </r>
        <r>
          <rPr>
            <sz val="9"/>
            <color indexed="81"/>
            <rFont val="Tahoma"/>
            <family val="2"/>
          </rPr>
          <t xml:space="preserve">
</t>
        </r>
      </text>
    </comment>
    <comment ref="V23" authorId="0" shapeId="0" xr:uid="{00000000-0006-0000-0100-000016000000}">
      <text>
        <r>
          <rPr>
            <b/>
            <sz val="9"/>
            <color indexed="81"/>
            <rFont val="Tahoma"/>
            <family val="2"/>
          </rPr>
          <t xml:space="preserve">This is the target pitch rate for Hybrid Styles.  BrewCipher will determine the starter size(s) and number of steps needed to achieve it.  The recommended value is 1,000,000.   This parameter should be changed by advanced users only. 
</t>
        </r>
        <r>
          <rPr>
            <sz val="9"/>
            <color indexed="81"/>
            <rFont val="Tahoma"/>
            <family val="2"/>
          </rPr>
          <t xml:space="preserve">
</t>
        </r>
      </text>
    </comment>
    <comment ref="AA23" authorId="0" shapeId="0" xr:uid="{00000000-0006-0000-0100-000017000000}">
      <text>
        <r>
          <rPr>
            <b/>
            <sz val="9"/>
            <color indexed="81"/>
            <rFont val="Tahoma"/>
            <family val="2"/>
          </rPr>
          <t xml:space="preserve">To ensure healthy yeast propagation, the yeast starter calculation will ensure that no indiviudual yeast starter step is inoculated with less cells than this threshold.  The recommended value is 25, meaning that the inoculation rate would never be allowed to be below at least 25 million cells per milliliter of starter wort.  If the natural result of a starter step would fall below this value, it will instead be forced to the inoculation rate specified in the 'Force Step Innoc Rate' parameter below.   This parameter should be changed by advanced users only. </t>
        </r>
        <r>
          <rPr>
            <sz val="9"/>
            <color indexed="81"/>
            <rFont val="Tahoma"/>
            <family val="2"/>
          </rPr>
          <t xml:space="preserve">
</t>
        </r>
      </text>
    </comment>
    <comment ref="C26" authorId="0" shapeId="0" xr:uid="{00000000-0006-0000-0100-000018000000}">
      <text>
        <r>
          <rPr>
            <b/>
            <sz val="9"/>
            <color indexed="81"/>
            <rFont val="Tahoma"/>
            <family val="2"/>
          </rPr>
          <t xml:space="preserve">This is the number of viable yeast cells (in Billions) per </t>
        </r>
        <r>
          <rPr>
            <b/>
            <i/>
            <sz val="9"/>
            <color indexed="81"/>
            <rFont val="Tahoma"/>
            <family val="2"/>
          </rPr>
          <t>fresh</t>
        </r>
        <r>
          <rPr>
            <b/>
            <sz val="9"/>
            <color indexed="81"/>
            <rFont val="Tahoma"/>
            <family val="2"/>
          </rPr>
          <t xml:space="preserve"> package.  For brewers using wyeast smackpacks or White Labs vials, the recommended default is 100.
IF USING DRY YEAST, ENTER 100 FOR 5 g PACKS AND 230 FOR 11.5 g PACKS.  </t>
        </r>
        <r>
          <rPr>
            <sz val="9"/>
            <color indexed="81"/>
            <rFont val="Tahoma"/>
            <family val="2"/>
          </rPr>
          <t xml:space="preserve">
</t>
        </r>
        <r>
          <rPr>
            <b/>
            <sz val="9"/>
            <color indexed="81"/>
            <rFont val="Tahoma"/>
            <family val="2"/>
          </rPr>
          <t>Commercial brewers should enter the appropriate number of cells (in Billions) for the containers obtained from their suppliers.</t>
        </r>
      </text>
    </comment>
    <comment ref="H26" authorId="0" shapeId="0" xr:uid="{00000000-0006-0000-0100-000019000000}">
      <text>
        <r>
          <rPr>
            <b/>
            <sz val="9"/>
            <color indexed="81"/>
            <rFont val="Tahoma"/>
            <family val="2"/>
          </rPr>
          <t xml:space="preserve">This parameter specifies the percentage of remaining yeast cells (not original total yeast cells) that dies each day due to age.  The recommended value is 0.7%, which results in about 81% viability after one month.  This is in the middle of the range quoted by White Labs.  
The same death rate is used for both packs/vials and harvested slurry.  If you believe harvested yeast dies off at a faster rate than pack/vial yeast, change it here before doing slurry computations on the recipe tab.
IF USING DRY YEAST, YOU MAY WANT TO SPECIFY A LOWER DEATH RATE, as the lore says properly stored dry yeast lasts longer.
This parameter should be changed by advanced users only. </t>
        </r>
      </text>
    </comment>
    <comment ref="O26" authorId="0" shapeId="0" xr:uid="{00000000-0006-0000-0100-00001A000000}">
      <text>
        <r>
          <rPr>
            <b/>
            <sz val="9"/>
            <color indexed="81"/>
            <rFont val="Tahoma"/>
            <family val="2"/>
          </rPr>
          <t xml:space="preserve">If you Repitch Yeast, this is the 'thickness' of your Slurry.  A very thick, compacted slurry would be about 4.5 Billion cells per milliliter.  An 'average' density thickness might be about 2.4 Billion cells per milliliter.  A thin slurry might be about 1 Billion cells per Milliliter.  Factors that can affect the density include how long the slurry has been settling (and at what temperature) and the flocculation tendency of the yeast strain.  </t>
        </r>
        <r>
          <rPr>
            <sz val="9"/>
            <color indexed="81"/>
            <rFont val="Tahoma"/>
            <family val="2"/>
          </rPr>
          <t xml:space="preserve">
</t>
        </r>
        <r>
          <rPr>
            <b/>
            <sz val="9"/>
            <color indexed="81"/>
            <rFont val="Tahoma"/>
            <family val="2"/>
          </rPr>
          <t xml:space="preserve">This parameter estimates cells as if the slurry consists only of liquid and yeast.  The accompanying parameter (non-yeast percent) accounts for the fact that thre are other solids in any harvested slurry. </t>
        </r>
        <r>
          <rPr>
            <sz val="9"/>
            <color indexed="81"/>
            <rFont val="Tahoma"/>
            <family val="2"/>
          </rPr>
          <t xml:space="preserve">
</t>
        </r>
        <r>
          <rPr>
            <b/>
            <sz val="9"/>
            <color indexed="81"/>
            <rFont val="Tahoma"/>
            <family val="2"/>
          </rPr>
          <t xml:space="preserve">
This parameter should be changed by advanced users only. </t>
        </r>
        <r>
          <rPr>
            <sz val="9"/>
            <color indexed="81"/>
            <rFont val="Tahoma"/>
            <family val="2"/>
          </rPr>
          <t xml:space="preserve">
</t>
        </r>
      </text>
    </comment>
    <comment ref="V26" authorId="0" shapeId="0" xr:uid="{00000000-0006-0000-0100-00001B000000}">
      <text>
        <r>
          <rPr>
            <b/>
            <sz val="9"/>
            <color indexed="81"/>
            <rFont val="Tahoma"/>
            <family val="2"/>
          </rPr>
          <t xml:space="preserve">This is the percentage of your harvested yeast slurry </t>
        </r>
        <r>
          <rPr>
            <b/>
            <i/>
            <sz val="9"/>
            <color indexed="81"/>
            <rFont val="Tahoma"/>
            <family val="2"/>
          </rPr>
          <t>solids</t>
        </r>
        <r>
          <rPr>
            <b/>
            <sz val="9"/>
            <color indexed="81"/>
            <rFont val="Tahoma"/>
            <family val="2"/>
          </rPr>
          <t xml:space="preserve"> that are something other than live yeast (such as hop particles, lipids, dead yeast, etc.)  An average recommended value for this parameter is 15 (for 15%).  If you rinse your yeast, your value may be closer to 0.  If you are pitching directly onto a yeast cake, your value might be closer to 25 or even 50.
This percentage is use to reduce the cell density specified in the accompanying paramemeter (Repitch Slurry Density)
This parameter should be changed by advanced users only. </t>
        </r>
        <r>
          <rPr>
            <sz val="9"/>
            <color indexed="81"/>
            <rFont val="Tahoma"/>
            <family val="2"/>
          </rPr>
          <t xml:space="preserve">
</t>
        </r>
      </text>
    </comment>
    <comment ref="AA26" authorId="0" shapeId="0" xr:uid="{00000000-0006-0000-0100-00001C000000}">
      <text>
        <r>
          <rPr>
            <b/>
            <sz val="9"/>
            <color indexed="81"/>
            <rFont val="Tahoma"/>
            <family val="2"/>
          </rPr>
          <t xml:space="preserve">To ensure healthy yeast propagation, the yeast starter calculation will ensure that no indiviudual yeast starter step is inoculated with less cells than the threshold specified in the 'Min Step Inoc Rate' parameter above.   If the natural result of a starter step would fall below that value, it will instead be forced to the inoculation rate specified in this 'Force Step Inoc Rate' parameter.   The recommended forced value is 100, meaning that the inoculation rate would be forced to 100 million cells per milliliter of starter wort.  This parameter should be changed by advanced users only. </t>
        </r>
        <r>
          <rPr>
            <sz val="9"/>
            <color indexed="81"/>
            <rFont val="Tahoma"/>
            <family val="2"/>
          </rPr>
          <t xml:space="preserve">
</t>
        </r>
      </text>
    </comment>
    <comment ref="C32" authorId="0" shapeId="0" xr:uid="{00000000-0006-0000-0100-00001D000000}">
      <text>
        <r>
          <rPr>
            <b/>
            <sz val="9"/>
            <color indexed="81"/>
            <rFont val="Tahoma"/>
            <family val="2"/>
          </rPr>
          <t>Attenuation Power Factor: If you consistently get more attenuation than predicted (across many recipes and strains), adjust this factor upward. If you consistently get less attenuation than predicted (across many recipes and strains), adjust this factor downward.  Otherwise, leave this at the default (0.984) or at 1.000.</t>
        </r>
        <r>
          <rPr>
            <sz val="9"/>
            <color indexed="81"/>
            <rFont val="Tahoma"/>
            <family val="2"/>
          </rPr>
          <t xml:space="preserve">
</t>
        </r>
      </text>
    </comment>
    <comment ref="H32" authorId="0" shapeId="0" xr:uid="{00000000-0006-0000-0100-00001E000000}">
      <text>
        <r>
          <rPr>
            <b/>
            <sz val="9"/>
            <color indexed="81"/>
            <rFont val="Tahoma"/>
            <family val="2"/>
          </rPr>
          <t xml:space="preserve">Hop utilization is somewhat brewhouse specific.   However, the Tinseth formula assumes standard utilization values.  
If you measure your actual IBUs and consistently get more (or less) IBUs than predicted, you can enter a multiplication factor here to more closely match your average results.  (The default is 1.0, i.e. no adjustment.)   
This multiplier does </t>
        </r>
        <r>
          <rPr>
            <b/>
            <i/>
            <sz val="9"/>
            <color indexed="81"/>
            <rFont val="Tahoma"/>
            <family val="2"/>
          </rPr>
          <t>not</t>
        </r>
        <r>
          <rPr>
            <b/>
            <sz val="9"/>
            <color indexed="81"/>
            <rFont val="Tahoma"/>
            <family val="2"/>
          </rPr>
          <t xml:space="preserve"> affect the standard Tinseth formula. It </t>
        </r>
        <r>
          <rPr>
            <b/>
            <i/>
            <sz val="9"/>
            <color indexed="81"/>
            <rFont val="Tahoma"/>
            <family val="2"/>
          </rPr>
          <t>does</t>
        </r>
        <r>
          <rPr>
            <b/>
            <sz val="9"/>
            <color indexed="81"/>
            <rFont val="Tahoma"/>
            <family val="2"/>
          </rPr>
          <t xml:space="preserve"> affect the modified Tinseth formula, and is applied </t>
        </r>
        <r>
          <rPr>
            <b/>
            <i/>
            <sz val="9"/>
            <color indexed="81"/>
            <rFont val="Tahoma"/>
            <family val="2"/>
          </rPr>
          <t xml:space="preserve">before </t>
        </r>
        <r>
          <rPr>
            <b/>
            <sz val="9"/>
            <color indexed="81"/>
            <rFont val="Tahoma"/>
            <family val="2"/>
          </rPr>
          <t xml:space="preserve">the "above 65 IBU slope adjustment" and the "110 IBU Ceiling" constraint.  
</t>
        </r>
        <r>
          <rPr>
            <sz val="9"/>
            <color indexed="81"/>
            <rFont val="Tahoma"/>
            <family val="2"/>
          </rPr>
          <t xml:space="preserve">
This parameter is recommended for advanced users only. 
</t>
        </r>
      </text>
    </comment>
    <comment ref="O32" authorId="0" shapeId="0" xr:uid="{00000000-0006-0000-0100-00001F000000}">
      <text>
        <r>
          <rPr>
            <b/>
            <sz val="9"/>
            <color indexed="81"/>
            <rFont val="Tahoma"/>
            <family val="2"/>
          </rPr>
          <t>Select your preferred IBU model.  The Tinseth Model is generally accepted as more accurate, but some brewers are more accustomed to/comfortable with the Rager model.</t>
        </r>
        <r>
          <rPr>
            <sz val="9"/>
            <color indexed="81"/>
            <rFont val="Tahoma"/>
            <family val="2"/>
          </rPr>
          <t xml:space="preserve">
</t>
        </r>
      </text>
    </comment>
    <comment ref="C35" authorId="0" shapeId="0" xr:uid="{00000000-0006-0000-0100-000020000000}">
      <text>
        <r>
          <rPr>
            <b/>
            <sz val="9"/>
            <color indexed="81"/>
            <rFont val="Tahoma"/>
            <family val="2"/>
          </rPr>
          <t xml:space="preserve">Keg Line Resistance Multiplier: This multiplier increases or decreases the line resistance assumed by the kegging beer line length calculator.  The calculator uses a standard resistance per length value for each line type, but actual restistance can differ between brands of line, age of line, and cleanliness levels.  If you tend to get too much foaming, slightly </t>
        </r>
        <r>
          <rPr>
            <b/>
            <i/>
            <sz val="9"/>
            <color indexed="81"/>
            <rFont val="Tahoma"/>
            <family val="2"/>
          </rPr>
          <t>decrease</t>
        </r>
        <r>
          <rPr>
            <b/>
            <sz val="9"/>
            <color indexed="81"/>
            <rFont val="Tahoma"/>
            <family val="2"/>
          </rPr>
          <t xml:space="preserve"> this multiplier value, which will cause the calculator to recommend a longer line to compensate for the lower resistance.  If you tend to get not enough foam, slightly </t>
        </r>
        <r>
          <rPr>
            <b/>
            <i/>
            <sz val="9"/>
            <color indexed="81"/>
            <rFont val="Tahoma"/>
            <family val="2"/>
          </rPr>
          <t>increase</t>
        </r>
        <r>
          <rPr>
            <b/>
            <sz val="9"/>
            <color indexed="81"/>
            <rFont val="Tahoma"/>
            <family val="2"/>
          </rPr>
          <t xml:space="preserve"> this multiplier value, which will cause the calculator to recommend a shorter line to compensate for the higher resistance.  Note: increasing line length does not really</t>
        </r>
        <r>
          <rPr>
            <b/>
            <i/>
            <sz val="9"/>
            <color indexed="81"/>
            <rFont val="Tahoma"/>
            <family val="2"/>
          </rPr>
          <t xml:space="preserve"> fix</t>
        </r>
        <r>
          <rPr>
            <b/>
            <sz val="9"/>
            <color indexed="81"/>
            <rFont val="Tahoma"/>
            <family val="2"/>
          </rPr>
          <t xml:space="preserve"> a foaming problem caused by warm lines/faucets (aka "first pour" foam).  It can compensate somewhat, but the best fix for that problem is to keep the lines and faucets closer to the temperature of the kegs.  
</t>
        </r>
      </text>
    </comment>
    <comment ref="H35" authorId="0" shapeId="0" xr:uid="{00000000-0006-0000-0100-000021000000}">
      <text>
        <r>
          <rPr>
            <b/>
            <sz val="9"/>
            <color indexed="81"/>
            <rFont val="Tahoma"/>
            <family val="2"/>
          </rPr>
          <t xml:space="preserve">The standard Tinseth IBU Formula assumes Leaf Hops.  The Rager Formula assumes (legend has it) Pellet Hops.  This factor does the following…
For Tinseth, </t>
        </r>
        <r>
          <rPr>
            <b/>
            <i/>
            <sz val="9"/>
            <color indexed="81"/>
            <rFont val="Tahoma"/>
            <family val="2"/>
          </rPr>
          <t>multiplies</t>
        </r>
        <r>
          <rPr>
            <b/>
            <sz val="9"/>
            <color indexed="81"/>
            <rFont val="Tahoma"/>
            <family val="2"/>
          </rPr>
          <t xml:space="preserve"> utilization by the factor if using pellet hops.
For Rager, </t>
        </r>
        <r>
          <rPr>
            <b/>
            <i/>
            <sz val="9"/>
            <color indexed="81"/>
            <rFont val="Tahoma"/>
            <family val="2"/>
          </rPr>
          <t>divides</t>
        </r>
        <r>
          <rPr>
            <b/>
            <sz val="9"/>
            <color indexed="81"/>
            <rFont val="Tahoma"/>
            <family val="2"/>
          </rPr>
          <t xml:space="preserve"> utilization by the factor if using leaf hops.
The recommended default value is 1.1000.  A factor of 1.1 means 10% more utilization for pellet hops than for leaf.
</t>
        </r>
        <r>
          <rPr>
            <sz val="9"/>
            <color indexed="81"/>
            <rFont val="Tahoma"/>
            <family val="2"/>
          </rPr>
          <t xml:space="preserve">This parameter is recommended for advanced users only.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Mick</author>
    <author>noel.spencer</author>
    <author>Dad</author>
  </authors>
  <commentList>
    <comment ref="H5" authorId="0" shapeId="0" xr:uid="{00000000-0006-0000-0200-000001000000}">
      <text>
        <r>
          <rPr>
            <b/>
            <sz val="9"/>
            <color indexed="81"/>
            <rFont val="Tahoma"/>
            <family val="2"/>
          </rPr>
          <t>If the Brew-In-A-Bag Indicator on the BREWHOUSE parameters tab is set to 'Y', this ratio will be ignored, because all the water will be forced to the first infusion, leaving 0 water for mashout/sparge.</t>
        </r>
        <r>
          <rPr>
            <sz val="9"/>
            <color indexed="81"/>
            <rFont val="Tahoma"/>
            <family val="2"/>
          </rPr>
          <t xml:space="preserve">
</t>
        </r>
      </text>
    </comment>
    <comment ref="H8" authorId="0" shapeId="0" xr:uid="{00000000-0006-0000-0200-000002000000}">
      <text>
        <r>
          <rPr>
            <b/>
            <sz val="9"/>
            <color indexed="81"/>
            <rFont val="Tahoma"/>
            <family val="2"/>
          </rPr>
          <t>Select a BJCP Style from the dropdown.  The new 2015 styles are at the top of the list.  The old 2008 styles are at the bottom of the list, and prefixed with "08-"</t>
        </r>
        <r>
          <rPr>
            <sz val="9"/>
            <color indexed="81"/>
            <rFont val="Tahoma"/>
            <family val="2"/>
          </rPr>
          <t xml:space="preserve">
</t>
        </r>
      </text>
    </comment>
    <comment ref="X11" authorId="0" shapeId="0" xr:uid="{00000000-0006-0000-0200-000003000000}">
      <text>
        <r>
          <rPr>
            <b/>
            <sz val="9"/>
            <color indexed="81"/>
            <rFont val="Tahoma"/>
            <family val="2"/>
          </rPr>
          <t>This are is for adding notes about timed additions other than hops.  Spices, for example.  There is no lookup table for this area, just type in.</t>
        </r>
        <r>
          <rPr>
            <sz val="9"/>
            <color indexed="81"/>
            <rFont val="Tahoma"/>
            <family val="2"/>
          </rPr>
          <t xml:space="preserve">
</t>
        </r>
      </text>
    </comment>
    <comment ref="H12" authorId="1" shapeId="0" xr:uid="{00000000-0006-0000-0200-000004000000}">
      <text>
        <r>
          <rPr>
            <b/>
            <sz val="10"/>
            <color indexed="81"/>
            <rFont val="Tahoma"/>
            <family val="2"/>
          </rPr>
          <t>The thoeretical max Points per Pound per Gallon (PPG) for the selected grain/fermentable is shown here.  It is an input to the OG formula.  If (for example) you know that your Maris Otter is 37 PPG vice 38 PPG, you can change the value on the GRAINLOOKUP tab.
PPG values are blanked out if using Metric rather than U.S. measurement.</t>
        </r>
      </text>
    </comment>
    <comment ref="L12" authorId="0" shapeId="0" xr:uid="{00000000-0006-0000-0200-000005000000}">
      <text>
        <r>
          <rPr>
            <b/>
            <sz val="9"/>
            <color indexed="81"/>
            <rFont val="Tahoma"/>
            <family val="2"/>
          </rPr>
          <t>Select L for Leaf or P for Pellet</t>
        </r>
      </text>
    </comment>
    <comment ref="N12" authorId="0" shapeId="0" xr:uid="{00000000-0006-0000-0200-000006000000}">
      <text>
        <r>
          <rPr>
            <b/>
            <sz val="9"/>
            <color indexed="81"/>
            <rFont val="Tahoma"/>
            <family val="2"/>
          </rPr>
          <t xml:space="preserve">Minutes from End of Boil to Add Hops.  Use 0 for flameout, whirlpool, or hopstand.  
You can also enter "FW" for First Wort…in which case the basic boil time for the addition will be equal to the full Recipe boil time.The </t>
        </r>
        <r>
          <rPr>
            <b/>
            <i/>
            <sz val="9"/>
            <color indexed="81"/>
            <rFont val="Tahoma"/>
            <family val="2"/>
          </rPr>
          <t xml:space="preserve">Standard </t>
        </r>
        <r>
          <rPr>
            <b/>
            <sz val="9"/>
            <color indexed="81"/>
            <rFont val="Tahoma"/>
            <family val="2"/>
          </rPr>
          <t xml:space="preserve">Tinseth formula (and  the Rager formula) will calculate bitterness without any bonus for First Wort Hopping.  The </t>
        </r>
        <r>
          <rPr>
            <b/>
            <i/>
            <sz val="9"/>
            <color indexed="81"/>
            <rFont val="Tahoma"/>
            <family val="2"/>
          </rPr>
          <t>Modified</t>
        </r>
        <r>
          <rPr>
            <b/>
            <sz val="9"/>
            <color indexed="81"/>
            <rFont val="Tahoma"/>
            <family val="2"/>
          </rPr>
          <t xml:space="preserve"> Tinseth formula will add a bitterness bonus for the addition equal to 10% of a 60 minute boil.</t>
        </r>
      </text>
    </comment>
    <comment ref="P12" authorId="0" shapeId="0" xr:uid="{00000000-0006-0000-0200-000007000000}">
      <text>
        <r>
          <rPr>
            <b/>
            <sz val="9"/>
            <color indexed="81"/>
            <rFont val="Tahoma"/>
            <family val="2"/>
          </rPr>
          <t xml:space="preserve">Use this column if the Alpha Acid percent for a Hop Sample is different from the database
</t>
        </r>
        <r>
          <rPr>
            <sz val="9"/>
            <color indexed="81"/>
            <rFont val="Tahoma"/>
            <family val="2"/>
          </rPr>
          <t xml:space="preserve">
</t>
        </r>
      </text>
    </comment>
    <comment ref="R12" authorId="1" shapeId="0" xr:uid="{00000000-0006-0000-0200-000008000000}">
      <text>
        <r>
          <rPr>
            <b/>
            <sz val="10"/>
            <color indexed="81"/>
            <rFont val="Tahoma"/>
            <family val="2"/>
          </rPr>
          <t>Unconstrained IBUs. These are caluclated as if each one was the only hop addition. For the Modified Tinseth or Modified Rager options, additions which take the total IBUs above 65 will be only partially counted (in the total IBUs) per a spliced utilization curve that reflects diminishing 'actual' IBU returns for each additional IBU.
If using the Standard Tinseth or Standard Rager model, flameout additions can be added here (as '0' minute additions) or in the Flameout/Whirlpool/Hopstand section.  If using the modified model, Flameout additions should be added in the Flameout/Whirlpool/Hopstand section.</t>
        </r>
        <r>
          <rPr>
            <sz val="10"/>
            <color indexed="81"/>
            <rFont val="Tahoma"/>
            <family val="2"/>
          </rPr>
          <t xml:space="preserve">
</t>
        </r>
      </text>
    </comment>
    <comment ref="AB16" authorId="0" shapeId="0" xr:uid="{00000000-0006-0000-0200-000009000000}">
      <text>
        <r>
          <rPr>
            <sz val="9"/>
            <color indexed="81"/>
            <rFont val="Tahoma"/>
            <family val="2"/>
          </rPr>
          <t xml:space="preserve">original weight to volume ratio
</t>
        </r>
      </text>
    </comment>
    <comment ref="AB17" authorId="0" shapeId="0" xr:uid="{00000000-0006-0000-0200-00000A000000}">
      <text>
        <r>
          <rPr>
            <sz val="9"/>
            <color indexed="81"/>
            <rFont val="Tahoma"/>
            <family val="2"/>
          </rPr>
          <t>Ratio of Target IBUs to Original IBUs</t>
        </r>
      </text>
    </comment>
    <comment ref="D28" authorId="0" shapeId="0" xr:uid="{00000000-0006-0000-0200-00000B000000}">
      <text>
        <r>
          <rPr>
            <b/>
            <sz val="9"/>
            <color indexed="81"/>
            <rFont val="Tahoma"/>
            <family val="2"/>
          </rPr>
          <t>To scale the grain bill to hit a specific original gravity, type the gravity in the blue box, click away from the blue box, and click on the button.</t>
        </r>
        <r>
          <rPr>
            <sz val="9"/>
            <color indexed="81"/>
            <rFont val="Tahoma"/>
            <family val="2"/>
          </rPr>
          <t xml:space="preserve">
</t>
        </r>
      </text>
    </comment>
    <comment ref="J28" authorId="0" shapeId="0" xr:uid="{00000000-0006-0000-0200-00000C000000}">
      <text>
        <r>
          <rPr>
            <b/>
            <sz val="9"/>
            <color indexed="81"/>
            <rFont val="Tahoma"/>
            <family val="2"/>
          </rPr>
          <t xml:space="preserve">Scale!:
To scale your current boil hop bill up or down, enter the desired IBUs (Standard model Tinseth or Rager IBUs) in the Target Standard Model IBUs cell to the right, click in another cell (to move off of the input  cell), then click the Scale! button.  Hop quantities will be automatically updated.  
Note that when increasing hops, BrewCipher adds water (due to hop absorption) to maintain batch size.  That extra water means even more hops to maintain the new bitterness level.  Brewcipher cycles through this phenomenon iteratively to converge on the target.  The natural result is a lower post boil Original Gravity.  (Decreasing hops causes a similar phenomenon, but opposite.)  If you want to scale your boil hops while maintaining (or newly targeting) a certain post-boil Original Gravity and Flameout/Whirlpool/Hopstand IBUs (if applicable) , use the ComboScale button instead.  See the help note associated with the ComboScale button for more info.  
ComboScale:
The ComboScale button can be used to target your desired pre-boil gravity, Standard model Tinseth or Rager IBUs, and extended model Flameout/Whirlpool/Hopstand IBUs (if applicable) simultaneously.  Enter your desired post-boil OG in the Target OG cell at the bottom of the grain bill section, your desired standard model IBUs in the Target Standard Model IBUs cell at the bottom of the Boil Hops section, and your desired Flameout/Whirlpool/Hopstand IBUs (if applicable) in the Target Post-Boil contribution to Modified IBUs cell at the bottom of the Flameout/Whirlpool/Hopstand section.  Then click in another cell (to move off of the Target IBUs cell), and click the ComboScale button.    
</t>
        </r>
        <r>
          <rPr>
            <sz val="9"/>
            <color indexed="81"/>
            <rFont val="Tahoma"/>
            <family val="2"/>
          </rPr>
          <t xml:space="preserve">
</t>
        </r>
      </text>
    </comment>
    <comment ref="E31" authorId="0" shapeId="0" xr:uid="{00000000-0006-0000-0200-00000D000000}">
      <text>
        <r>
          <rPr>
            <b/>
            <sz val="9"/>
            <color indexed="81"/>
            <rFont val="Tahoma"/>
            <family val="2"/>
          </rPr>
          <t>Select L for Leaf or P for Pellet</t>
        </r>
      </text>
    </comment>
    <comment ref="G31" authorId="1" shapeId="0" xr:uid="{00000000-0006-0000-0200-00000E000000}">
      <text>
        <r>
          <rPr>
            <b/>
            <sz val="10"/>
            <color indexed="81"/>
            <rFont val="Tahoma"/>
            <family val="2"/>
          </rPr>
          <t xml:space="preserve">This is the average temp of the wort during the time these hops will be in the wort.  </t>
        </r>
        <r>
          <rPr>
            <sz val="10"/>
            <color indexed="81"/>
            <rFont val="Tahoma"/>
            <family val="2"/>
          </rPr>
          <t>Note that while chilling wort, the rate of temperature reduction slows down the lower you get, so during a chill your wort will spend much more time at the lower end than the higher.
Enter in Degrees F if using US measurements.
Enter in Degrees C if using Metric</t>
        </r>
      </text>
    </comment>
    <comment ref="H31" authorId="0" shapeId="0" xr:uid="{00000000-0006-0000-0200-00000F000000}">
      <text>
        <r>
          <rPr>
            <b/>
            <sz val="9"/>
            <color indexed="81"/>
            <rFont val="Tahoma"/>
            <family val="2"/>
          </rPr>
          <t xml:space="preserve">Total number of Minutes these hops will be in contact with the wort. </t>
        </r>
        <r>
          <rPr>
            <sz val="9"/>
            <color indexed="81"/>
            <rFont val="Tahoma"/>
            <family val="2"/>
          </rPr>
          <t xml:space="preserve">
</t>
        </r>
      </text>
    </comment>
    <comment ref="J31" authorId="0" shapeId="0" xr:uid="{00000000-0006-0000-0200-000010000000}">
      <text>
        <r>
          <rPr>
            <b/>
            <sz val="9"/>
            <color indexed="81"/>
            <rFont val="Tahoma"/>
            <family val="2"/>
          </rPr>
          <t xml:space="preserve">Use this column if the Alpha Acid percent for a Hop Sample is different from the database
</t>
        </r>
        <r>
          <rPr>
            <sz val="9"/>
            <color indexed="81"/>
            <rFont val="Tahoma"/>
            <family val="2"/>
          </rPr>
          <t xml:space="preserve">
</t>
        </r>
      </text>
    </comment>
    <comment ref="L31" authorId="1" shapeId="0" xr:uid="{00000000-0006-0000-0200-000011000000}">
      <text>
        <r>
          <rPr>
            <b/>
            <sz val="10"/>
            <color indexed="81"/>
            <rFont val="Tahoma"/>
            <family val="2"/>
          </rPr>
          <t>Unconstrained extended model IBUs.</t>
        </r>
        <r>
          <rPr>
            <sz val="10"/>
            <color indexed="81"/>
            <rFont val="Tahoma"/>
            <family val="2"/>
          </rPr>
          <t xml:space="preserve">
The Standard Tinseth formula and Standard Rager formula would not calculate any IBUs for these addtions, and ignores these values.  But the Modified Tinseth Model and Modified Rager Model use them. </t>
        </r>
      </text>
    </comment>
    <comment ref="P31" authorId="1" shapeId="0" xr:uid="{00000000-0006-0000-0200-000012000000}">
      <text>
        <r>
          <rPr>
            <b/>
            <sz val="10"/>
            <color indexed="81"/>
            <rFont val="Tahoma"/>
            <family val="2"/>
          </rPr>
          <t>Select L for Leaf or P for Pellet</t>
        </r>
        <r>
          <rPr>
            <sz val="10"/>
            <color indexed="81"/>
            <rFont val="Tahoma"/>
            <family val="2"/>
          </rPr>
          <t xml:space="preserve">
</t>
        </r>
      </text>
    </comment>
    <comment ref="AB36" authorId="0" shapeId="0" xr:uid="{00000000-0006-0000-0200-000013000000}">
      <text>
        <r>
          <rPr>
            <sz val="9"/>
            <color indexed="81"/>
            <rFont val="Tahoma"/>
            <family val="2"/>
          </rPr>
          <t>Ratio of Target IBUs to Original IBUs</t>
        </r>
      </text>
    </comment>
    <comment ref="B37" authorId="0" shapeId="0" xr:uid="{00000000-0006-0000-0200-000014000000}">
      <text>
        <r>
          <rPr>
            <b/>
            <sz val="9"/>
            <color indexed="81"/>
            <rFont val="Tahoma"/>
            <family val="2"/>
          </rPr>
          <t xml:space="preserve">To scale your current Flameout/Whirlpool/Hopstand hop bill up or down, enter the desired IBUs in the Target IBUs cell to the right, click in another cell (to move off of the Target IBUs cell), then click the Scale! button.  Hop quantities will be automatically updated.  
Note that when increasing hops, BrewCipher adds water (due to hop absorption) to maintain batch size.  That extra water means even more hops to maintain the new bitterness level.  Brewcipher cycles through this phenomenon iteratively to converge on the target.  The natural result is a lower post boil Original Gravity.  (Decreasing hops causes a similar phenomenon, but opposite.)  If you want to scale your Flameout/Whirlpool/Hopstand hops while maintaining (or newly targeting) a certain post-boil Original Gravity and Boil Hop IBUs , use the ComboScale button instead.  See the help note associated with the ComboScale button for more info.  </t>
        </r>
        <r>
          <rPr>
            <sz val="9"/>
            <color indexed="81"/>
            <rFont val="Tahoma"/>
            <family val="2"/>
          </rPr>
          <t xml:space="preserve">
</t>
        </r>
      </text>
    </comment>
    <comment ref="X38" authorId="0" shapeId="0" xr:uid="{00000000-0006-0000-0200-000015000000}">
      <text>
        <r>
          <rPr>
            <b/>
            <sz val="9"/>
            <color indexed="81"/>
            <rFont val="Tahoma"/>
            <family val="2"/>
          </rPr>
          <t>This block is for actual readings/measurements, i.e. the actual measured OG, the actual gallons of Wort in the Kettle at the End of the Boil, and the actual measured FG.  From these numbers, actual Efficiency, Attenuation, and ABV are calculated.</t>
        </r>
        <r>
          <rPr>
            <sz val="9"/>
            <color indexed="81"/>
            <rFont val="Tahoma"/>
            <family val="2"/>
          </rPr>
          <t xml:space="preserve">
</t>
        </r>
        <r>
          <rPr>
            <b/>
            <sz val="9"/>
            <color indexed="81"/>
            <rFont val="Tahoma"/>
            <family val="2"/>
          </rPr>
          <t>It can also be used as a standalone ABV calculator (ignoring the volume input and the mash efficiency output).</t>
        </r>
      </text>
    </comment>
    <comment ref="Y39" authorId="0" shapeId="0" xr:uid="{00000000-0006-0000-0200-000016000000}">
      <text>
        <r>
          <rPr>
            <b/>
            <sz val="9"/>
            <color indexed="81"/>
            <rFont val="Tahoma"/>
            <family val="2"/>
          </rPr>
          <t xml:space="preserve">This is the actual Volume of Wort in the Kettle after the end of the boil and cooling.  </t>
        </r>
        <r>
          <rPr>
            <b/>
            <i/>
            <sz val="9"/>
            <color indexed="81"/>
            <rFont val="Tahoma"/>
            <family val="2"/>
          </rPr>
          <t>NOT the volume that made it into the fermenter.</t>
        </r>
        <r>
          <rPr>
            <sz val="9"/>
            <color indexed="81"/>
            <rFont val="Tahoma"/>
            <family val="2"/>
          </rPr>
          <t xml:space="preserve">
Enter in Gallons if U.S.
Enter in Liters if Metric.</t>
        </r>
      </text>
    </comment>
    <comment ref="H41" authorId="0" shapeId="0" xr:uid="{00000000-0006-0000-0200-000017000000}">
      <text>
        <r>
          <rPr>
            <b/>
            <sz val="9"/>
            <color indexed="81"/>
            <rFont val="Tahoma"/>
            <family val="2"/>
          </rPr>
          <t>Enter the number of liquid yeast smackpack packs or vials.
If using 11.5 g packs of Dry Yeast, enter the number of packs, and see the Yeast Cells Per Fresh Package parameter on the Brewhouse Tab.
If you are Repitching Slurry, delete any values in this (Yeast Vials/Packs) cell.  If there are values in both cells, the Slurry will be used and the Yeast Vials/Packs will be ignored.  Both cells will be turned red as a reminder/warning.</t>
        </r>
      </text>
    </comment>
    <comment ref="J41" authorId="0" shapeId="0" xr:uid="{00000000-0006-0000-0200-000018000000}">
      <text>
        <r>
          <rPr>
            <b/>
            <sz val="9"/>
            <color indexed="81"/>
            <rFont val="Tahoma"/>
            <family val="2"/>
          </rPr>
          <t>If repitching harvested yeast, enter the number of milliliters of slurry you have.  (If not repitching harvested yeast, this cell should be blank.)
If you are using Slurry, delete any value in the "Yeast Vials/Packs #" to the left.  If there are values in both cells, the slurry will be used and the packs/vials will be ignored. Both cells will be turned red as a reminder/warning.
If the amount of cells in the slurry is sufficient for the batch's pitch rate, the answer in the Yeast Starter block below will indicated how much of the slurry to use.
If the amount of cells in the slurry is not sufficient for the batch, the starter volume(s) will be calculated the same way as an equal cell count coming from full/partial/multiple pack(s)/vial(s) of yeast.</t>
        </r>
      </text>
    </comment>
    <comment ref="K41" authorId="0" shapeId="0" xr:uid="{00000000-0006-0000-0200-000019000000}">
      <text>
        <r>
          <rPr>
            <b/>
            <sz val="9"/>
            <color indexed="81"/>
            <rFont val="Tahoma"/>
            <family val="2"/>
          </rPr>
          <t xml:space="preserve">Enter the number of days since the yeast vial(s)/packet(s) was packaged or since the batch from which the yeast slurry was harvested was fermented.  If the yeast has been rinsed, enter the number of days since rinsing. </t>
        </r>
      </text>
    </comment>
    <comment ref="M41" authorId="0" shapeId="0" xr:uid="{00000000-0006-0000-0200-00001A000000}">
      <text>
        <r>
          <rPr>
            <b/>
            <sz val="9"/>
            <color indexed="81"/>
            <rFont val="Tahoma"/>
            <family val="2"/>
          </rPr>
          <t>To override the age-based yeast cell viability calculation, select a percentage from the dropdown list.
Otherwise, leave BLANK.</t>
        </r>
        <r>
          <rPr>
            <sz val="9"/>
            <color indexed="81"/>
            <rFont val="Tahoma"/>
            <family val="2"/>
          </rPr>
          <t xml:space="preserve">
</t>
        </r>
      </text>
    </comment>
    <comment ref="E44" authorId="0" shapeId="0" xr:uid="{00000000-0006-0000-0200-00001B000000}">
      <text>
        <r>
          <rPr>
            <sz val="9"/>
            <color indexed="81"/>
            <rFont val="Tahoma"/>
            <family val="2"/>
          </rPr>
          <t xml:space="preserve">If you get an Error here, it's because the amount of viable yeast cells is not enough to get sufficient cells for the batch, even with a 3 step starter.
There are several 'set and forget' yeast starter parameters on the BREWHOUSE tab, including whether or not you use a stir plate.
</t>
        </r>
      </text>
    </comment>
    <comment ref="E46" authorId="0" shapeId="0" xr:uid="{00000000-0006-0000-0200-00001C000000}">
      <text>
        <r>
          <rPr>
            <b/>
            <sz val="9"/>
            <color indexed="81"/>
            <rFont val="Tahoma"/>
            <family val="2"/>
          </rPr>
          <t xml:space="preserve">This is the 'Net' amount of water that ends up in the mash tun for the strike.  It excludes any Hot Liquor Tank Deadspace.  The total amount of water to add to the HLT (if applicable) is shown on the far right. 
</t>
        </r>
      </text>
    </comment>
    <comment ref="O46" authorId="0" shapeId="0" xr:uid="{00000000-0006-0000-0200-00001D000000}">
      <text>
        <r>
          <rPr>
            <b/>
            <sz val="9"/>
            <color indexed="81"/>
            <rFont val="Tahoma"/>
            <family val="2"/>
          </rPr>
          <t>If any Mash Salts or Acids have been entered on the WATER tab, they will be shown here.</t>
        </r>
        <r>
          <rPr>
            <sz val="9"/>
            <color indexed="81"/>
            <rFont val="Tahoma"/>
            <family val="2"/>
          </rPr>
          <t xml:space="preserve">
</t>
        </r>
      </text>
    </comment>
    <comment ref="E47" authorId="0" shapeId="0" xr:uid="{00000000-0006-0000-0200-00001E000000}">
      <text>
        <r>
          <rPr>
            <b/>
            <sz val="9"/>
            <color indexed="81"/>
            <rFont val="Tahoma"/>
            <family val="2"/>
          </rPr>
          <t xml:space="preserve">This is the 'Net' amount of water that ends up in the mash tun for the sparge.  It excludes any Hot Liquor Tank Deadspace.  The total amount of water to add to the HLT (if applicable) is shown on the far right.  </t>
        </r>
      </text>
    </comment>
    <comment ref="B50" authorId="1" shapeId="0" xr:uid="{00000000-0006-0000-0200-00001F000000}">
      <text>
        <r>
          <rPr>
            <b/>
            <sz val="10"/>
            <color indexed="81"/>
            <rFont val="Tahoma"/>
            <family val="2"/>
          </rPr>
          <t xml:space="preserve">The weighted average diastatic power of the mash affects how completely the starches are likely to be converted to sugars and unfermentable dextrins.  It reflects the amount of enzymes contributed by the grains, and depends on the grain types and proportions.  A Diastatic Power of 35 Deg L (Degrees Lintner) is often quoted as a minimum for full conversion.  However, there are other factors, such as the length of the mash.  It's possible to get full conversion with less than 35 Deg L with a longer mash.  This spreadsheet display considers power above 35L to be 'good,'  25L-35L to be 'marginal,' and below 25L to be 'poor.'  This is a simplification of a complex process.  Experience will tell you what works and doesn't work in your system. </t>
        </r>
        <r>
          <rPr>
            <sz val="10"/>
            <color indexed="81"/>
            <rFont val="Tahoma"/>
            <family val="2"/>
          </rPr>
          <t xml:space="preserve">
</t>
        </r>
      </text>
    </comment>
    <comment ref="I50" authorId="0" shapeId="0" xr:uid="{00000000-0006-0000-0200-000020000000}">
      <text>
        <r>
          <rPr>
            <b/>
            <sz val="9"/>
            <color indexed="81"/>
            <rFont val="Tahoma"/>
            <family val="2"/>
          </rPr>
          <t>This ABV formula is more accurate at higher ABVs than the traditional formula.  You may be shocked by the differences.  If you refer to this calculation instead of the traditional one, you may need to recalibrate your expectations about what a given level of ABV tastes like.</t>
        </r>
        <r>
          <rPr>
            <sz val="9"/>
            <color indexed="81"/>
            <rFont val="Tahoma"/>
            <family val="2"/>
          </rPr>
          <t xml:space="preserve">
</t>
        </r>
      </text>
    </comment>
    <comment ref="O50" authorId="0" shapeId="0" xr:uid="{00000000-0006-0000-0200-000021000000}">
      <text>
        <r>
          <rPr>
            <b/>
            <sz val="9"/>
            <color indexed="81"/>
            <rFont val="Tahoma"/>
            <family val="2"/>
          </rPr>
          <t xml:space="preserve">The Sparge Water Acidification result from the WATER tab is shown here, only if its indicator on the WATER Tab is set to "Y" </t>
        </r>
        <r>
          <rPr>
            <sz val="9"/>
            <color indexed="81"/>
            <rFont val="Tahoma"/>
            <family val="2"/>
          </rPr>
          <t xml:space="preserve">
</t>
        </r>
      </text>
    </comment>
    <comment ref="B51" authorId="2" shapeId="0" xr:uid="{00000000-0006-0000-0200-000022000000}">
      <text>
        <r>
          <rPr>
            <b/>
            <sz val="9"/>
            <color indexed="81"/>
            <rFont val="Tahoma"/>
            <family val="2"/>
          </rPr>
          <t>This volume includes the contribution of non-mashed ingredients, like LME, DME, Syrups, etc.</t>
        </r>
        <r>
          <rPr>
            <sz val="9"/>
            <color indexed="81"/>
            <rFont val="Tahoma"/>
            <family val="2"/>
          </rPr>
          <t xml:space="preserve">
</t>
        </r>
      </text>
    </comment>
    <comment ref="D52" authorId="0" shapeId="0" xr:uid="{00000000-0006-0000-0200-000023000000}">
      <text>
        <r>
          <rPr>
            <b/>
            <sz val="9"/>
            <color indexed="81"/>
            <rFont val="Tahoma"/>
            <family val="2"/>
          </rPr>
          <t xml:space="preserve">This is the gravity after boiling </t>
        </r>
        <r>
          <rPr>
            <i/>
            <sz val="9"/>
            <color indexed="81"/>
            <rFont val="Tahoma"/>
            <family val="2"/>
          </rPr>
          <t xml:space="preserve">and </t>
        </r>
        <r>
          <rPr>
            <b/>
            <sz val="9"/>
            <color indexed="81"/>
            <rFont val="Tahoma"/>
            <family val="2"/>
          </rPr>
          <t>cooling.</t>
        </r>
        <r>
          <rPr>
            <sz val="9"/>
            <color indexed="81"/>
            <rFont val="Tahoma"/>
            <family val="2"/>
          </rPr>
          <t xml:space="preserve">
</t>
        </r>
      </text>
    </comment>
    <comment ref="I52" authorId="0" shapeId="0" xr:uid="{00000000-0006-0000-0200-000024000000}">
      <text>
        <r>
          <rPr>
            <b/>
            <sz val="9"/>
            <color indexed="81"/>
            <rFont val="Tahoma"/>
            <family val="2"/>
          </rPr>
          <t xml:space="preserve">My Modified Tinseth Model adds bitterness contributions for post-boil hop additions (modeled and extrapolated after research by Mark G. Malowicki), adds extra bitterness for First Wort Hopping, limits the total possible IBUs to 110 (due to solubility limits), and splices a new utilization curve to the Tinseth curve for IBUs above 65, based on a fit of real (but limited) data.  The post-boil addition contribution and newly spliced curve are far from perfect or proven. But I think they give a more useful answer than the basic Tinseth model under the conditions where they apply.
</t>
        </r>
        <r>
          <rPr>
            <sz val="9"/>
            <color indexed="81"/>
            <rFont val="Tahoma"/>
            <family val="2"/>
          </rPr>
          <t xml:space="preserve">
</t>
        </r>
        <r>
          <rPr>
            <b/>
            <sz val="9"/>
            <color indexed="81"/>
            <rFont val="Tahoma"/>
            <family val="2"/>
          </rPr>
          <t>In addition, this value is now also modified by the Hop Utilization Multiplier (brewhouse parameter), which is applied</t>
        </r>
        <r>
          <rPr>
            <b/>
            <i/>
            <sz val="9"/>
            <color indexed="81"/>
            <rFont val="Tahoma"/>
            <family val="2"/>
          </rPr>
          <t xml:space="preserve"> before </t>
        </r>
        <r>
          <rPr>
            <b/>
            <sz val="9"/>
            <color indexed="81"/>
            <rFont val="Tahoma"/>
            <family val="2"/>
          </rPr>
          <t>the other adjustments.</t>
        </r>
        <r>
          <rPr>
            <i/>
            <sz val="9"/>
            <color indexed="81"/>
            <rFont val="Tahoma"/>
            <family val="2"/>
          </rPr>
          <t xml:space="preserve"> </t>
        </r>
      </text>
    </comment>
    <comment ref="O52" authorId="0" shapeId="0" xr:uid="{00000000-0006-0000-0200-000025000000}">
      <text>
        <r>
          <rPr>
            <b/>
            <sz val="9"/>
            <color indexed="81"/>
            <rFont val="Tahoma"/>
            <family val="2"/>
          </rPr>
          <t>If any Kettle Salts have been entered on the WATER tab, they will be shown here.</t>
        </r>
        <r>
          <rPr>
            <sz val="9"/>
            <color indexed="81"/>
            <rFont val="Tahoma"/>
            <family val="2"/>
          </rPr>
          <t xml:space="preserve">
</t>
        </r>
      </text>
    </comment>
    <comment ref="B53" authorId="0" shapeId="0" xr:uid="{00000000-0006-0000-0200-000026000000}">
      <text>
        <r>
          <rPr>
            <b/>
            <sz val="9"/>
            <color indexed="81"/>
            <rFont val="Tahoma"/>
            <family val="2"/>
          </rPr>
          <t>This will change as you change your grain bill and mash conditions.  Relax, it's supposed to, even though it doesn't with commercial software.</t>
        </r>
        <r>
          <rPr>
            <sz val="9"/>
            <color indexed="81"/>
            <rFont val="Tahoma"/>
            <family val="2"/>
          </rPr>
          <t xml:space="preserve">
</t>
        </r>
      </text>
    </comment>
    <comment ref="B54" authorId="0" shapeId="0" xr:uid="{00000000-0006-0000-0200-000027000000}">
      <text>
        <r>
          <rPr>
            <b/>
            <sz val="9"/>
            <color indexed="81"/>
            <rFont val="Tahoma"/>
            <family val="2"/>
          </rPr>
          <t>This will change as you change your grain bill and mash conditions.  Relax, it's supposed to, even though it doesn't with commercial software.</t>
        </r>
        <r>
          <rPr>
            <sz val="9"/>
            <color indexed="81"/>
            <rFont val="Tahoma"/>
            <family val="2"/>
          </rPr>
          <t xml:space="preserve">
</t>
        </r>
      </text>
    </comment>
    <comment ref="I54" authorId="1" shapeId="0" xr:uid="{00000000-0006-0000-0200-000028000000}">
      <text>
        <r>
          <rPr>
            <b/>
            <sz val="10"/>
            <color indexed="81"/>
            <rFont val="Tahoma"/>
            <family val="2"/>
          </rPr>
          <t xml:space="preserve">Recommended time to oxygenate the wort.  Based on Batch Size, Type (Ale/Lager/'Hybrid'), and Gravity.  Assumes using a common 'hardware store' O2 cylinder with a 0.5 micron sintered stone.  I think this setup typically delivers approx 1 liter per minute when immersed in a carboy.
</t>
        </r>
        <r>
          <rPr>
            <sz val="10"/>
            <color indexed="81"/>
            <rFont val="Tahoma"/>
            <family val="2"/>
          </rPr>
          <t xml:space="preserve">
</t>
        </r>
      </text>
    </comment>
    <comment ref="O54" authorId="0" shapeId="0" xr:uid="{00000000-0006-0000-0200-000029000000}">
      <text>
        <r>
          <rPr>
            <b/>
            <sz val="9"/>
            <color indexed="81"/>
            <rFont val="Tahoma"/>
            <family val="2"/>
          </rPr>
          <t>This is the ratio of IBUs (from the Standard Tinseth or Rager Formula) to Original Gravity Points.</t>
        </r>
        <r>
          <rPr>
            <sz val="9"/>
            <color indexed="81"/>
            <rFont val="Tahoma"/>
            <family val="2"/>
          </rPr>
          <t xml:space="preserve">
</t>
        </r>
      </text>
    </comment>
    <comment ref="B55" authorId="0" shapeId="0" xr:uid="{00000000-0006-0000-0200-00002A000000}">
      <text>
        <r>
          <rPr>
            <b/>
            <sz val="9"/>
            <color indexed="81"/>
            <rFont val="Tahoma"/>
            <family val="2"/>
          </rPr>
          <t xml:space="preserve">This is the commonly used ABV formula.  It is commonly used because it is simple.  It's accurate at low ABVs, but understates higher ABVs.  However, you may find it more convenient to refer to this one, because many brewers over many years have set their expectations about ABV according to this calculation. </t>
        </r>
        <r>
          <rPr>
            <sz val="9"/>
            <color indexed="81"/>
            <rFont val="Tahoma"/>
            <family val="2"/>
          </rPr>
          <t xml:space="preserve">
</t>
        </r>
      </text>
    </comment>
    <comment ref="O55" authorId="0" shapeId="0" xr:uid="{00000000-0006-0000-0200-00002B000000}">
      <text>
        <r>
          <rPr>
            <b/>
            <sz val="9"/>
            <color indexed="81"/>
            <rFont val="Tahoma"/>
            <family val="2"/>
          </rPr>
          <t>This is the ratio of IBUs (from the Modified Tinseth or Modified Rager Formula) to Original Gravity Points.</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noel.spencer</author>
    <author>Mick</author>
  </authors>
  <commentList>
    <comment ref="B2" authorId="0" shapeId="0" xr:uid="{00000000-0006-0000-0300-000001000000}">
      <text>
        <r>
          <rPr>
            <sz val="10"/>
            <color indexed="81"/>
            <rFont val="Tahoma"/>
            <family val="2"/>
          </rPr>
          <t>Enter the minerals from your Water Report.</t>
        </r>
        <r>
          <rPr>
            <sz val="10"/>
            <color indexed="81"/>
            <rFont val="Tahoma"/>
            <family val="2"/>
          </rPr>
          <t xml:space="preserve">
If SO4 is listed as "SO4-S" or "SO4 as S," multiply the water report number by 3 before entering in the SO4 cell. 
If your report lists Alkalinity as CaCO3 (and not HCO3), multiply the CaCO3 number by 1.22 and enter in the HCO3 cell.</t>
        </r>
      </text>
    </comment>
    <comment ref="O2" authorId="1" shapeId="0" xr:uid="{00000000-0006-0000-0300-000002000000}">
      <text>
        <r>
          <rPr>
            <sz val="9"/>
            <color indexed="81"/>
            <rFont val="Tahoma"/>
            <family val="2"/>
          </rPr>
          <t xml:space="preserve">The pH value of your source Tap/Well Water is used in the sparge water acicification calculation.  It is not used in the mash pH calculations.  If you don't know the pH of your source water, enter 8.0
</t>
        </r>
      </text>
    </comment>
    <comment ref="S3" authorId="1" shapeId="0" xr:uid="{00000000-0006-0000-0300-000003000000}">
      <text>
        <r>
          <rPr>
            <b/>
            <sz val="9"/>
            <color indexed="81"/>
            <rFont val="Tahoma"/>
            <family val="2"/>
          </rPr>
          <t xml:space="preserve">Does NOT include any losses due to Hot Liquor Tank Deadspace.  This is the amount that ends up in the Mash Tun and thus the amount that is affected by water chem calcs.
 </t>
        </r>
        <r>
          <rPr>
            <sz val="9"/>
            <color indexed="81"/>
            <rFont val="Tahoma"/>
            <family val="2"/>
          </rPr>
          <t xml:space="preserve">
</t>
        </r>
      </text>
    </comment>
    <comment ref="U3" authorId="0" shapeId="0" xr:uid="{00000000-0006-0000-0300-000004000000}">
      <text>
        <r>
          <rPr>
            <sz val="10"/>
            <color indexed="81"/>
            <rFont val="Tahoma"/>
            <family val="2"/>
          </rPr>
          <t xml:space="preserve">Enter the percentage of your strike water that will be distilled or RO.
</t>
        </r>
      </text>
    </comment>
    <comment ref="W3" authorId="1" shapeId="0" xr:uid="{00000000-0006-0000-0300-000005000000}">
      <text>
        <r>
          <rPr>
            <b/>
            <sz val="9"/>
            <color indexed="81"/>
            <rFont val="Tahoma"/>
            <family val="2"/>
          </rPr>
          <t>Does NOT include any losses due to Hot Liquor Tank Deadspace.  This is the amount that ends up in the Mash Tun.</t>
        </r>
        <r>
          <rPr>
            <sz val="9"/>
            <color indexed="81"/>
            <rFont val="Tahoma"/>
            <family val="2"/>
          </rPr>
          <t xml:space="preserve">
However, the sparge water acidification computation </t>
        </r>
        <r>
          <rPr>
            <b/>
            <sz val="9"/>
            <color indexed="81"/>
            <rFont val="Tahoma"/>
            <family val="2"/>
          </rPr>
          <t>does</t>
        </r>
        <r>
          <rPr>
            <sz val="9"/>
            <color indexed="81"/>
            <rFont val="Tahoma"/>
            <family val="2"/>
          </rPr>
          <t xml:space="preserve"> consider any sparge HLT deadspace, assuming the sparge acid will be added to the HLT before sparging.</t>
        </r>
      </text>
    </comment>
    <comment ref="Y3" authorId="0" shapeId="0" xr:uid="{00000000-0006-0000-0300-000006000000}">
      <text>
        <r>
          <rPr>
            <sz val="10"/>
            <color indexed="81"/>
            <rFont val="Tahoma"/>
            <family val="2"/>
          </rPr>
          <t xml:space="preserve">Enter the percentage of your Sparge/Mashout water that will be distilled or RO.
</t>
        </r>
      </text>
    </comment>
    <comment ref="AB3" authorId="1" shapeId="0" xr:uid="{00000000-0006-0000-0300-000007000000}">
      <text>
        <r>
          <rPr>
            <b/>
            <sz val="9"/>
            <color indexed="81"/>
            <rFont val="Tahoma"/>
            <family val="2"/>
          </rPr>
          <t>If you want to display the percentage of distilled water on the Recipe and BREWDAY PRINT ME tabs, select Y here.  The reason for this parameter is that for users who don't use the Water tab, showing its default data on the other tabs would be irrelevant and potentially confusing.</t>
        </r>
        <r>
          <rPr>
            <sz val="9"/>
            <color indexed="81"/>
            <rFont val="Tahoma"/>
            <family val="2"/>
          </rPr>
          <t xml:space="preserve">
</t>
        </r>
      </text>
    </comment>
    <comment ref="B6" authorId="0" shapeId="0" xr:uid="{00000000-0006-0000-0300-000008000000}">
      <text>
        <r>
          <rPr>
            <sz val="10"/>
            <color indexed="81"/>
            <rFont val="Tahoma"/>
            <family val="2"/>
          </rPr>
          <t>The grist is automatically populated from the recipe tab.  It's only shown here to give the user a warm feeling that the model is using it, and to show a bit of the model calculation.  See Utahbeerdude's papers at http://homebrewingphysics.blogspot.com/ for more information on the pH models.</t>
        </r>
        <r>
          <rPr>
            <b/>
            <sz val="10"/>
            <color indexed="81"/>
            <rFont val="Tahoma"/>
            <family val="2"/>
          </rPr>
          <t xml:space="preserve"> </t>
        </r>
      </text>
    </comment>
    <comment ref="B23" authorId="0" shapeId="0" xr:uid="{00000000-0006-0000-0300-000009000000}">
      <text>
        <r>
          <rPr>
            <sz val="10"/>
            <color indexed="81"/>
            <rFont val="Tahoma"/>
            <family val="2"/>
          </rPr>
          <t xml:space="preserve">Enter amounts of salts (in grams) that you'll add to the Mash and to the Kettle.  There is no reason that they need to be the same or proportional.
Salts added to the mash will affect both pH and flavor (except NaCl, which only affects flavor).
Salts added to the kettle will affect flavor. 
</t>
        </r>
      </text>
    </comment>
    <comment ref="F24" authorId="0" shapeId="0" xr:uid="{00000000-0006-0000-0300-00000A000000}">
      <text>
        <r>
          <rPr>
            <sz val="10"/>
            <color indexed="81"/>
            <rFont val="Tahoma"/>
            <family val="2"/>
          </rPr>
          <t>Calcium chloride.
When adding to the mash to lower pH, consider the Chloride to Sulfate Ratio and its impact on flavor.  pH can also be lowered with CaSO4 (Gypsum), with a different flavor result, or with Acid additions, with little flavor impact.</t>
        </r>
      </text>
    </comment>
    <comment ref="H24" authorId="0" shapeId="0" xr:uid="{00000000-0006-0000-0300-00000B000000}">
      <text>
        <r>
          <rPr>
            <sz val="10"/>
            <color indexed="81"/>
            <rFont val="Tahoma"/>
            <family val="2"/>
          </rPr>
          <t>Calcium sulfate (Gypsum).
When adding to the mash to lower pH, consider the Chloride to Sulfate Ratio and its impact on flavor.  pH can also be lowered with CaCl2, with a different flavor result, or with Acid additions, with little flavor impact.</t>
        </r>
      </text>
    </comment>
    <comment ref="J24" authorId="0" shapeId="0" xr:uid="{00000000-0006-0000-0300-00000C000000}">
      <text>
        <r>
          <rPr>
            <sz val="10"/>
            <color indexed="81"/>
            <rFont val="Tahoma"/>
            <family val="2"/>
          </rPr>
          <t>Magnesium chloride.
Beer wort naturally contains more Magnesium than the yeast need. Consider using CaCl2, CaSO4, or Acids to lower mash pH instead.</t>
        </r>
      </text>
    </comment>
    <comment ref="L24" authorId="0" shapeId="0" xr:uid="{00000000-0006-0000-0300-00000D000000}">
      <text>
        <r>
          <rPr>
            <sz val="10"/>
            <color indexed="81"/>
            <rFont val="Tahoma"/>
            <family val="2"/>
          </rPr>
          <t>Magnesium sulfate (Epsom Salts).
Beer wort naturally contains more Magnesium than the yeast need. Consider using CaCl2, CaSO4, or Acids to lower mash pH instead.</t>
        </r>
      </text>
    </comment>
    <comment ref="N24" authorId="0" shapeId="0" xr:uid="{00000000-0006-0000-0300-00000E000000}">
      <text>
        <r>
          <rPr>
            <sz val="10"/>
            <color indexed="81"/>
            <rFont val="Tahoma"/>
            <family val="2"/>
          </rPr>
          <t>Sodium chloride (Table Salt)</t>
        </r>
      </text>
    </comment>
    <comment ref="P24" authorId="0" shapeId="0" xr:uid="{00000000-0006-0000-0300-00000F000000}">
      <text>
        <r>
          <rPr>
            <sz val="10"/>
            <color indexed="81"/>
            <rFont val="Tahoma"/>
            <family val="2"/>
          </rPr>
          <t>Sodum Bicarbonate (Baking Soda)</t>
        </r>
      </text>
    </comment>
    <comment ref="R24" authorId="0" shapeId="0" xr:uid="{00000000-0006-0000-0300-000010000000}">
      <text>
        <r>
          <rPr>
            <sz val="10"/>
            <color indexed="81"/>
            <rFont val="Tahoma"/>
            <family val="2"/>
          </rPr>
          <t>Calcium hydroxide (Slaked Lime)</t>
        </r>
      </text>
    </comment>
    <comment ref="AC24" authorId="1" shapeId="0" xr:uid="{00000000-0006-0000-0300-000011000000}">
      <text>
        <r>
          <rPr>
            <sz val="9"/>
            <color indexed="81"/>
            <rFont val="Tahoma"/>
            <family val="2"/>
          </rPr>
          <t xml:space="preserve">If you use Acid Malt, enter the amount in this section, even if it's listed in your recipe grist.
</t>
        </r>
      </text>
    </comment>
    <comment ref="B26" authorId="0" shapeId="0" xr:uid="{00000000-0006-0000-0300-000012000000}">
      <text>
        <r>
          <rPr>
            <sz val="10"/>
            <color indexed="81"/>
            <rFont val="Tahoma"/>
            <family val="2"/>
          </rPr>
          <t>The words 'Sparge' and 'Kettle' are used interchangeably.  Sparge/Kettle salts should normally be added to the Kettle rather than to the sparge/mashout water.</t>
        </r>
      </text>
    </comment>
    <comment ref="H28" authorId="0" shapeId="0" xr:uid="{00000000-0006-0000-0300-000013000000}">
      <text>
        <r>
          <rPr>
            <sz val="10"/>
            <color indexed="81"/>
            <rFont val="Tahoma"/>
            <family val="2"/>
          </rPr>
          <t>In general, at least 50 ppm of Calcium in the fermenter is recommended for yeast flocculation.</t>
        </r>
      </text>
    </comment>
    <comment ref="J28" authorId="0" shapeId="0" xr:uid="{00000000-0006-0000-0300-000014000000}">
      <text>
        <r>
          <rPr>
            <sz val="10"/>
            <color indexed="81"/>
            <rFont val="Tahoma"/>
            <family val="2"/>
          </rPr>
          <t xml:space="preserve">Beer wort naturally contains more Magnesium than the yeast need. </t>
        </r>
      </text>
    </comment>
    <comment ref="L28" authorId="0" shapeId="0" xr:uid="{00000000-0006-0000-0300-000015000000}">
      <text>
        <r>
          <rPr>
            <sz val="10"/>
            <color indexed="81"/>
            <rFont val="Tahoma"/>
            <family val="2"/>
          </rPr>
          <t>Sodium enhances flavors, but too much can cause a salty taste.</t>
        </r>
      </text>
    </comment>
    <comment ref="N28" authorId="0" shapeId="0" xr:uid="{00000000-0006-0000-0300-000016000000}">
      <text>
        <r>
          <rPr>
            <sz val="10"/>
            <color indexed="81"/>
            <rFont val="Tahoma"/>
            <family val="2"/>
          </rPr>
          <t>Chloride enhances malty flavors.</t>
        </r>
      </text>
    </comment>
    <comment ref="P28" authorId="0" shapeId="0" xr:uid="{00000000-0006-0000-0300-000017000000}">
      <text>
        <r>
          <rPr>
            <sz val="10"/>
            <color indexed="81"/>
            <rFont val="Tahoma"/>
            <family val="2"/>
          </rPr>
          <t>Sulfate enhances the perception of crisp bitterness.</t>
        </r>
      </text>
    </comment>
    <comment ref="R28" authorId="1" shapeId="0" xr:uid="{00000000-0006-0000-0300-000018000000}">
      <text>
        <r>
          <rPr>
            <sz val="9"/>
            <color indexed="81"/>
            <rFont val="Tahoma"/>
            <family val="2"/>
          </rPr>
          <t>Equivalent bicarbonate concentration</t>
        </r>
      </text>
    </comment>
    <comment ref="U28" authorId="0" shapeId="0" xr:uid="{00000000-0006-0000-0300-000019000000}">
      <text>
        <r>
          <rPr>
            <sz val="10"/>
            <color indexed="81"/>
            <rFont val="Tahoma"/>
            <family val="2"/>
          </rPr>
          <t xml:space="preserve">Chloride/Sulfate ratios greater than 1.0 tend to accentuate malt flavors.  Chloride/Sulfate ratios less than 1.0 tend to accentuate crisp bitterness. </t>
        </r>
      </text>
    </comment>
    <comment ref="Y28" authorId="1" shapeId="0" xr:uid="{00000000-0006-0000-0300-00001A000000}">
      <text>
        <r>
          <rPr>
            <sz val="9"/>
            <color indexed="81"/>
            <rFont val="Tahoma"/>
            <family val="2"/>
          </rPr>
          <t xml:space="preserve">Ideally, mash pH should be in the range of 5.2 to 5.6, measured at room temperature.
</t>
        </r>
      </text>
    </comment>
    <comment ref="B30" authorId="0" shapeId="0" xr:uid="{00000000-0006-0000-0300-00001B000000}">
      <text>
        <r>
          <rPr>
            <sz val="10"/>
            <color indexed="81"/>
            <rFont val="Tahoma"/>
            <family val="2"/>
          </rPr>
          <t xml:space="preserve">The words 'Sparge' and 'Kettle' are used somewhat interchangeably.  Sparge/Kettle salts should normally be added to the Kettle rather than to the sparge/mashout water.  The separate Sparge Water acidification calculation assumes these salts are added to the kettle (and so do not affect the sparge water acidification calculation).
</t>
        </r>
      </text>
    </comment>
    <comment ref="AC30" authorId="1" shapeId="0" xr:uid="{00000000-0006-0000-0300-00001C000000}">
      <text>
        <r>
          <rPr>
            <b/>
            <sz val="9"/>
            <color indexed="81"/>
            <rFont val="Tahoma"/>
            <family val="2"/>
          </rPr>
          <t>Enter the desired sparge water pH here.</t>
        </r>
        <r>
          <rPr>
            <sz val="9"/>
            <color indexed="81"/>
            <rFont val="Tahoma"/>
            <family val="2"/>
          </rPr>
          <t xml:space="preserve">
</t>
        </r>
        <r>
          <rPr>
            <b/>
            <sz val="9"/>
            <color indexed="81"/>
            <rFont val="Tahoma"/>
            <family val="2"/>
          </rPr>
          <t>When acidifying sparge water, a good target is a pH that's close to the pH of the mash.</t>
        </r>
      </text>
    </comment>
    <comment ref="AD31" authorId="1" shapeId="0" xr:uid="{00000000-0006-0000-0300-00001D000000}">
      <text>
        <r>
          <rPr>
            <b/>
            <sz val="9"/>
            <color indexed="81"/>
            <rFont val="Tahoma"/>
            <family val="2"/>
          </rPr>
          <t xml:space="preserve">To acidify your sparge water to the pH entered above, add this amount of acid. 
Calc assumes acid strengths as specified in the Mash Acid Additions section. </t>
        </r>
        <r>
          <rPr>
            <sz val="9"/>
            <color indexed="81"/>
            <rFont val="Tahoma"/>
            <family val="2"/>
          </rPr>
          <t xml:space="preserve">
</t>
        </r>
      </text>
    </comment>
    <comment ref="B32" authorId="1" shapeId="0" xr:uid="{00000000-0006-0000-0300-00001E000000}">
      <text>
        <r>
          <rPr>
            <b/>
            <sz val="9"/>
            <color indexed="81"/>
            <rFont val="Tahoma"/>
            <family val="2"/>
          </rPr>
          <t>This cell contains a dropdown of suggested Overall Water Profiles that might work well with the recipe's style, from a flavor and mash pH perspective.  Make sure to scroll up/down to see if there is more than one suggested profile.  Every style has at least one profile loaded - a generic profile that fits one or more styles.  The generic profiles were designed to balance:
- enough calcium for flocculation
- chloride and sulfates in amounts and ratios to enhance the style's flavor
- will in many cases require minimal tinkering (e.g. acid additions) to reach desired pH
- represent cation/anion proportions that should are attainable by enhancement and/or dilution of tap water, or building from distilled/RO water.      
If you have profiles that were featured in award winning brews, send them to VikeMan.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Mick</author>
  </authors>
  <commentList>
    <comment ref="C4" authorId="0" shapeId="0" xr:uid="{00000000-0006-0000-0400-000001000000}">
      <text>
        <r>
          <rPr>
            <b/>
            <sz val="9"/>
            <color indexed="81"/>
            <rFont val="Tahoma"/>
            <family val="2"/>
          </rPr>
          <t>This is the recommended Wort Correction Factor.  It will be used if nothing is entered for Override Wort Correction Factor.</t>
        </r>
        <r>
          <rPr>
            <sz val="9"/>
            <color indexed="81"/>
            <rFont val="Tahoma"/>
            <family val="2"/>
          </rPr>
          <t xml:space="preserve">
</t>
        </r>
        <r>
          <rPr>
            <b/>
            <sz val="9"/>
            <color indexed="81"/>
            <rFont val="Tahoma"/>
            <family val="2"/>
          </rPr>
          <t xml:space="preserve">This (recommended) Wort Correction Factor (WCF) is computed using the expected attenuabilty from the recipe.  The formula that calculates this recommended WCF was derived by VikeMan, using two pieces of data... First, Sean Terrill's work, which found that a WCF of 1.04 is a good center for worts with an average ADF of 81%.  Second, that a pure sucrose solution would require no WCF, i.e. a factor of 1.0.
WCF accounts for the fact that sugars/dextrins other than sucrose have a different refractive index than sucrose.  Therefore a refractometer's Brix reading must be adjusted if the wort contains sugars/dextrins other than sucrose.  (And they all do.)  The WCF is used to apply this adjustment.
This recommended WCF calculation is not necessarily endorsed by Sean, whose shadow I merely walk in.
If you are uncomfortable applying this WCF derived using expected attenuability, you can apply an override.  Sean Terrill's recommended default (based on the worts he tested) is 1.04.        </t>
        </r>
      </text>
    </comment>
    <comment ref="G4" authorId="0" shapeId="0" xr:uid="{00000000-0006-0000-0400-000002000000}">
      <text>
        <r>
          <rPr>
            <b/>
            <sz val="9"/>
            <color indexed="81"/>
            <rFont val="Tahoma"/>
            <family val="2"/>
          </rPr>
          <t xml:space="preserve">This is the Override Wort Correction Factor.  If a number is entered here, it will be used instead of the computed (recommended) Wort Correction Factor (WCF) that appears to the left.
WCF accounts for the fact that sugars/dextrins other than sucrose have a different refractive index than sucrose.  Therefore a refractometer's Brix reading must be adjusted if the wort contains sugars/dextrins other than sucrose.  (And they all do.)  The WCF is used to apply this adjustment.
If you are uncomfortable using the recommended WCF (derived using expected attenuability), apply an override here.  You might want to apply Sean Terrill's recommended default (based on the worts he tested), which is 1.04.    
If a value is entered, the cell will turn orange to remind you that the value is being used rather than the computed recommended value. </t>
        </r>
        <r>
          <rPr>
            <sz val="9"/>
            <color indexed="81"/>
            <rFont val="Tahoma"/>
            <family val="2"/>
          </rPr>
          <t xml:space="preserve">
</t>
        </r>
      </text>
    </comment>
    <comment ref="C8" authorId="0" shapeId="0" xr:uid="{00000000-0006-0000-0400-000003000000}">
      <text>
        <r>
          <rPr>
            <b/>
            <sz val="9"/>
            <color indexed="81"/>
            <rFont val="Tahoma"/>
            <family val="2"/>
          </rPr>
          <t>Enter your Post-Boil Original Refractometer Brix reading here.  It will be converted to an estimated Original Gravity hydrometer reading using Sean Terrill's formula and the appropriate Wort Correction Factor from above.</t>
        </r>
        <r>
          <rPr>
            <sz val="9"/>
            <color indexed="81"/>
            <rFont val="Tahoma"/>
            <family val="2"/>
          </rPr>
          <t xml:space="preserve">
</t>
        </r>
      </text>
    </comment>
    <comment ref="C10" authorId="0" shapeId="0" xr:uid="{00000000-0006-0000-0400-000004000000}">
      <text>
        <r>
          <rPr>
            <b/>
            <sz val="9"/>
            <color indexed="81"/>
            <rFont val="Tahoma"/>
            <family val="2"/>
          </rPr>
          <t xml:space="preserve">Enter your Post-Fermentation Final Refractometer Brix reading here.  It will be converted to an estimated hydrometer Final Gravity reading using Sean Terrill's formula and the appropriate Wort Correction Factor from above.  Sean's formula does account for the presense of alcohol's affect on the Brix reading.  
</t>
        </r>
        <r>
          <rPr>
            <sz val="9"/>
            <color indexed="81"/>
            <rFont val="Tahoma"/>
            <family val="2"/>
          </rPr>
          <t xml:space="preserve">
</t>
        </r>
      </text>
    </comment>
    <comment ref="G10" authorId="0" shapeId="0" xr:uid="{00000000-0006-0000-0400-000005000000}">
      <text>
        <r>
          <rPr>
            <b/>
            <sz val="9"/>
            <color indexed="81"/>
            <rFont val="Tahoma"/>
            <family val="2"/>
          </rPr>
          <t>If the raw estimated Final Gravity formula results in an FG that would equate to more than 122% Apparent Attenuation (100% Real Attenuation), the final gravity is adjusted upward to hit 122% Apparent Attenuation.  This is a change from Sean Terrill's formula.  It's very unlikley that you'll encounter this condition with a normal beer, so it's really just a housekeeping issue.</t>
        </r>
        <r>
          <rPr>
            <sz val="9"/>
            <color indexed="81"/>
            <rFont val="Tahoma"/>
            <family val="2"/>
          </rPr>
          <t xml:space="preserve">
</t>
        </r>
      </text>
    </comment>
    <comment ref="C15" authorId="0" shapeId="0" xr:uid="{00000000-0006-0000-0400-000006000000}">
      <text>
        <r>
          <rPr>
            <b/>
            <sz val="9"/>
            <color indexed="81"/>
            <rFont val="Tahoma"/>
            <family val="2"/>
          </rPr>
          <t xml:space="preserve">This is the commonly used ABV formula.  It is commonly used because it is simple.  It's accurate at low ABVs, but understates higher ABVs.  However, you may find it more convenient to refer to this one, because many brewers over many years have set their expectations about ABV according to this calculation. </t>
        </r>
        <r>
          <rPr>
            <sz val="9"/>
            <color indexed="81"/>
            <rFont val="Tahoma"/>
            <family val="2"/>
          </rPr>
          <t xml:space="preserve">
</t>
        </r>
      </text>
    </comment>
    <comment ref="C16" authorId="0" shapeId="0" xr:uid="{00000000-0006-0000-0400-000007000000}">
      <text>
        <r>
          <rPr>
            <b/>
            <sz val="9"/>
            <color indexed="81"/>
            <rFont val="Tahoma"/>
            <family val="2"/>
          </rPr>
          <t>This ABV formula is more accurate at higher ABVs than the traditional formula.  You may be shocked by the differences.  If you refer to this calculation instead of the traditional one, you may need to recalibrate your expectations about what a given level of ABV tastes like.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Mick</author>
  </authors>
  <commentList>
    <comment ref="B4" authorId="0" shapeId="0" xr:uid="{00000000-0006-0000-0500-000001000000}">
      <text>
        <r>
          <rPr>
            <b/>
            <sz val="9"/>
            <color indexed="81"/>
            <rFont val="Tahoma"/>
            <family val="2"/>
          </rPr>
          <t>Enter the calibration temperature of your particular hydrometer.  Most homebrew hydrometers are calibrated at 60F or 68F.  And other calibrations are possible.  Check the documentation that came with your hydrometer.  It may also be printed on the piece of paper inside the hydrometer.  If using Metric measurements, enter in degrees C.</t>
        </r>
        <r>
          <rPr>
            <sz val="9"/>
            <color indexed="81"/>
            <rFont val="Tahoma"/>
            <family val="2"/>
          </rPr>
          <t xml:space="preserve">
</t>
        </r>
      </text>
    </comment>
    <comment ref="B5" authorId="0" shapeId="0" xr:uid="{00000000-0006-0000-0500-000002000000}">
      <text>
        <r>
          <rPr>
            <b/>
            <sz val="9"/>
            <color indexed="81"/>
            <rFont val="Tahoma"/>
            <family val="2"/>
          </rPr>
          <t>Enter the temperature of your wort at the time of the hydrometer reading to be corrected.  If using Metric measurements, enter in degrees C.</t>
        </r>
      </text>
    </comment>
    <comment ref="B6" authorId="0" shapeId="0" xr:uid="{00000000-0006-0000-0500-000003000000}">
      <text>
        <r>
          <rPr>
            <b/>
            <sz val="9"/>
            <color indexed="81"/>
            <rFont val="Tahoma"/>
            <family val="2"/>
          </rPr>
          <t xml:space="preserve">Enter the hydrometer reading to be corrected.  If using the Plato scale, enter in degrees Plato.  Otherwise, enter as a Specific Gravity.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noel.spencer</author>
    <author>Dad</author>
  </authors>
  <commentList>
    <comment ref="C5" authorId="0" shapeId="0" xr:uid="{00000000-0006-0000-0700-000001000000}">
      <text>
        <r>
          <rPr>
            <b/>
            <sz val="9"/>
            <color indexed="81"/>
            <rFont val="Tahoma"/>
            <family val="2"/>
          </rPr>
          <t xml:space="preserve">Recommended Volumes of CO2, based on the beer style.
</t>
        </r>
      </text>
    </comment>
    <comment ref="I5" authorId="0" shapeId="0" xr:uid="{00000000-0006-0000-0700-000002000000}">
      <text>
        <r>
          <rPr>
            <b/>
            <sz val="9"/>
            <color indexed="81"/>
            <rFont val="Tahoma"/>
            <family val="2"/>
          </rPr>
          <t>If you want a CO2 level different from the one that was recommended based on the beer style, enter it here as Volumes of CO2.</t>
        </r>
      </text>
    </comment>
    <comment ref="C8" authorId="0" shapeId="0" xr:uid="{00000000-0006-0000-0700-000003000000}">
      <text>
        <r>
          <rPr>
            <b/>
            <sz val="9"/>
            <color indexed="81"/>
            <rFont val="Tahoma"/>
            <family val="2"/>
          </rPr>
          <t>Enter the actual volume of beer being primed here.  This is generally something less than the recipe batch size due to racking losses.</t>
        </r>
        <r>
          <rPr>
            <sz val="9"/>
            <color indexed="81"/>
            <rFont val="Tahoma"/>
            <family val="2"/>
          </rPr>
          <t xml:space="preserve">
</t>
        </r>
      </text>
    </comment>
    <comment ref="I8" authorId="0" shapeId="0" xr:uid="{00000000-0006-0000-0700-000004000000}">
      <text>
        <r>
          <rPr>
            <b/>
            <sz val="9"/>
            <color indexed="81"/>
            <rFont val="Tahoma"/>
            <family val="2"/>
          </rPr>
          <t xml:space="preserve">This is the temperature of your beer at the end of active fermentation, or the temperature at bottling, whichever is higher. </t>
        </r>
        <r>
          <rPr>
            <sz val="9"/>
            <color indexed="81"/>
            <rFont val="Tahoma"/>
            <family val="2"/>
          </rPr>
          <t xml:space="preserve">
</t>
        </r>
      </text>
    </comment>
    <comment ref="C11" authorId="0" shapeId="0" xr:uid="{00000000-0006-0000-0700-000005000000}">
      <text>
        <r>
          <rPr>
            <b/>
            <sz val="9"/>
            <color indexed="81"/>
            <rFont val="Tahoma"/>
            <family val="2"/>
          </rPr>
          <t xml:space="preserve">Select the source of your fermentable sugars from the dropdown.
</t>
        </r>
        <r>
          <rPr>
            <sz val="9"/>
            <color indexed="81"/>
            <rFont val="Tahoma"/>
            <family val="2"/>
          </rPr>
          <t xml:space="preserve">
</t>
        </r>
      </text>
    </comment>
    <comment ref="C23" authorId="0" shapeId="0" xr:uid="{00000000-0006-0000-0700-000006000000}">
      <text>
        <r>
          <rPr>
            <b/>
            <sz val="9"/>
            <color indexed="81"/>
            <rFont val="Tahoma"/>
            <family val="2"/>
          </rPr>
          <t xml:space="preserve">Recommended Volumes of CO2, based on the beer style.
</t>
        </r>
      </text>
    </comment>
    <comment ref="I23" authorId="0" shapeId="0" xr:uid="{00000000-0006-0000-0700-000007000000}">
      <text>
        <r>
          <rPr>
            <b/>
            <sz val="9"/>
            <color indexed="81"/>
            <rFont val="Tahoma"/>
            <family val="2"/>
          </rPr>
          <t>If you want a CO2 level different from the one that was recommended based on the beer style, enter it here as Volumes of CO2.</t>
        </r>
      </text>
    </comment>
    <comment ref="C26" authorId="0" shapeId="0" xr:uid="{00000000-0006-0000-0700-000008000000}">
      <text>
        <r>
          <rPr>
            <b/>
            <sz val="9"/>
            <color indexed="81"/>
            <rFont val="Tahoma"/>
            <family val="2"/>
          </rPr>
          <t xml:space="preserve">This is the temperature of your beer while you carbonate.  Normally this would be equal to the average </t>
        </r>
        <r>
          <rPr>
            <b/>
            <i/>
            <sz val="9"/>
            <color indexed="81"/>
            <rFont val="Tahoma"/>
            <family val="2"/>
          </rPr>
          <t>actual</t>
        </r>
        <r>
          <rPr>
            <b/>
            <sz val="9"/>
            <color indexed="81"/>
            <rFont val="Tahoma"/>
            <family val="2"/>
          </rPr>
          <t xml:space="preserve"> air temperature of your refigerator/kegerator/keezer.  This temperature may be different from your  refigerator/kegerator/keezer's thermostat temperature</t>
        </r>
        <r>
          <rPr>
            <b/>
            <i/>
            <sz val="9"/>
            <color indexed="81"/>
            <rFont val="Tahoma"/>
            <family val="2"/>
          </rPr>
          <t xml:space="preserve"> setting</t>
        </r>
        <r>
          <rPr>
            <b/>
            <sz val="9"/>
            <color indexed="81"/>
            <rFont val="Tahoma"/>
            <family val="2"/>
          </rPr>
          <t>.
If you will be carbonating at room temeperature, enter that temperature.</t>
        </r>
        <r>
          <rPr>
            <sz val="9"/>
            <color indexed="81"/>
            <rFont val="Tahoma"/>
            <family val="2"/>
          </rPr>
          <t xml:space="preserve">
</t>
        </r>
      </text>
    </comment>
    <comment ref="I26" authorId="0" shapeId="0" xr:uid="{00000000-0006-0000-0700-000009000000}">
      <text>
        <r>
          <rPr>
            <b/>
            <sz val="9"/>
            <color indexed="81"/>
            <rFont val="Tahoma"/>
            <family val="2"/>
          </rPr>
          <t>This is the CO2 regulator setting you'll need to carbonate to the desired CO2 level, given the specified temperature.</t>
        </r>
        <r>
          <rPr>
            <sz val="9"/>
            <color indexed="81"/>
            <rFont val="Tahoma"/>
            <family val="2"/>
          </rPr>
          <t xml:space="preserve">
</t>
        </r>
      </text>
    </comment>
    <comment ref="O26" authorId="1" shapeId="0" xr:uid="{00000000-0006-0000-0700-00000A000000}">
      <text>
        <r>
          <rPr>
            <b/>
            <sz val="9"/>
            <color indexed="81"/>
            <rFont val="Tahoma"/>
            <family val="2"/>
          </rPr>
          <t>This is the height of your faucet above the middle of the keg.
Enter in Feet if using U.S. measurements.  Enter in Meters if using Metric.</t>
        </r>
      </text>
    </comment>
    <comment ref="U26" authorId="1" shapeId="0" xr:uid="{00000000-0006-0000-0700-00000B000000}">
      <text>
        <r>
          <rPr>
            <b/>
            <sz val="9"/>
            <color indexed="81"/>
            <rFont val="Tahoma"/>
            <family val="2"/>
          </rPr>
          <t>This is the length of beer line required to balance the keg system, based on the CO2 PSI, the type of beer line, and the height of the faucet above the middle of the keg.</t>
        </r>
        <r>
          <rPr>
            <sz val="9"/>
            <color indexed="81"/>
            <rFont val="Tahoma"/>
            <family val="2"/>
          </rPr>
          <t xml:space="preserve">
The calculator uses a standard resistance per length value for each line type, but actual reststance can differ between brands of line, age of line, and cleanliness levels.  If you tend to get too much foaming, slightly decrease the Keg Line Resistance Multiplier value on the Brewhouse tab, which will cause the calculator to recommend a longer line to compensate for the lower resistance.  If you tend to get not enough foam, slightly increase the Keg Line Resistance multiplier value, which will cause the calculator to recommend a shorter line to compensate for the higher resistance.  Note: increasing line length does not really fix a foaming problem caused by warm lines/faucets (aka "first pour" foam).  It can compensate somewhat, but the best fix for that problem is to keep the lines and faucets closer to the temperature of the kegs.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Mick</author>
  </authors>
  <commentList>
    <comment ref="J5" authorId="0" shapeId="0" xr:uid="{00000000-0006-0000-0800-000001000000}">
      <text>
        <r>
          <rPr>
            <sz val="9"/>
            <color indexed="81"/>
            <rFont val="Tahoma"/>
            <family val="2"/>
          </rPr>
          <t xml:space="preserve">This Section for No-Sparge to No-Sparge Conversion. Assumes Original Recipe was No Sparge
</t>
        </r>
      </text>
    </comment>
    <comment ref="J20" authorId="0" shapeId="0" xr:uid="{00000000-0006-0000-0800-000002000000}">
      <text>
        <r>
          <rPr>
            <b/>
            <sz val="9"/>
            <color indexed="81"/>
            <rFont val="Tahoma"/>
            <family val="2"/>
          </rPr>
          <t xml:space="preserve">Red Section for No Sparge to Sparge Conversion.  Assumes Original Recipe was No Sparge
</t>
        </r>
        <r>
          <rPr>
            <sz val="9"/>
            <color indexed="81"/>
            <rFont val="Tahoma"/>
            <family val="2"/>
          </rPr>
          <t xml:space="preserve">
</t>
        </r>
      </text>
    </comment>
    <comment ref="J28" authorId="0" shapeId="0" xr:uid="{00000000-0006-0000-0800-000003000000}">
      <text>
        <r>
          <rPr>
            <b/>
            <sz val="9"/>
            <color indexed="81"/>
            <rFont val="Tahoma"/>
            <family val="2"/>
          </rPr>
          <t xml:space="preserve">This Section for SPARGE BASELINE info, assuming Original Recipe was Sparge
 </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Mick</author>
    <author>noel.spencer</author>
    <author>Dad</author>
  </authors>
  <commentList>
    <comment ref="B1" authorId="0" shapeId="0" xr:uid="{00000000-0006-0000-0A00-000001000000}">
      <text>
        <r>
          <rPr>
            <b/>
            <sz val="9"/>
            <color indexed="81"/>
            <rFont val="Tahoma"/>
            <family val="2"/>
          </rPr>
          <t xml:space="preserve">Points per Pound per Gallon
</t>
        </r>
        <r>
          <rPr>
            <sz val="9"/>
            <color indexed="81"/>
            <rFont val="Tahoma"/>
            <family val="2"/>
          </rPr>
          <t xml:space="preserve">
</t>
        </r>
      </text>
    </comment>
    <comment ref="G1" authorId="0" shapeId="0" xr:uid="{00000000-0006-0000-0A00-000002000000}">
      <text>
        <r>
          <rPr>
            <b/>
            <sz val="9"/>
            <color indexed="81"/>
            <rFont val="Tahoma"/>
            <family val="2"/>
          </rPr>
          <t>Diastatic Power in Degress Lovibond</t>
        </r>
        <r>
          <rPr>
            <sz val="9"/>
            <color indexed="81"/>
            <rFont val="Tahoma"/>
            <family val="2"/>
          </rPr>
          <t xml:space="preserve">
</t>
        </r>
      </text>
    </comment>
    <comment ref="H1" authorId="0" shapeId="0" xr:uid="{00000000-0006-0000-0A00-000003000000}">
      <text>
        <r>
          <rPr>
            <sz val="9"/>
            <color indexed="81"/>
            <rFont val="Tahoma"/>
            <family val="2"/>
          </rPr>
          <t xml:space="preserve">For pH model purposes, 'Base' includes toasted/lightly roasted malts. </t>
        </r>
      </text>
    </comment>
    <comment ref="I1" authorId="1" shapeId="0" xr:uid="{00000000-0006-0000-0A00-000004000000}">
      <text>
        <r>
          <rPr>
            <b/>
            <sz val="9"/>
            <color indexed="81"/>
            <rFont val="Tahoma"/>
            <family val="2"/>
          </rPr>
          <t xml:space="preserve">This parameter is for Dry Ingredients and Syrups that are not mashed or steeped, i.e. ingredients like DME, LME, honey, table sugar, candi syrups, lactose, etc.  It's the volume added to the wort by adding a pound of the ingredient, after it's dissolved in the wort.
If unsure what to enter here, copy from a very similar ingredient.  For mashable/steepable ingredients (i.e. grains), enter NA or leave blank.  That's because grains' effect on wort volume has already been taken into consideration in the Brewhouse grain absorption parameter.  </t>
        </r>
        <r>
          <rPr>
            <sz val="9"/>
            <color indexed="81"/>
            <rFont val="Tahoma"/>
            <family val="2"/>
          </rPr>
          <t xml:space="preserve">  </t>
        </r>
      </text>
    </comment>
    <comment ref="D3" authorId="0" shapeId="0" xr:uid="{00000000-0006-0000-0A00-000005000000}">
      <text>
        <r>
          <rPr>
            <b/>
            <sz val="9"/>
            <color indexed="81"/>
            <rFont val="Tahoma"/>
            <family val="2"/>
          </rPr>
          <t>copied from Pilsner</t>
        </r>
        <r>
          <rPr>
            <sz val="9"/>
            <color indexed="81"/>
            <rFont val="Tahoma"/>
            <family val="2"/>
          </rPr>
          <t xml:space="preserve">
</t>
        </r>
      </text>
    </comment>
    <comment ref="D4" authorId="0" shapeId="0" xr:uid="{00000000-0006-0000-0A00-000006000000}">
      <text>
        <r>
          <rPr>
            <b/>
            <sz val="9"/>
            <color indexed="81"/>
            <rFont val="Tahoma"/>
            <family val="2"/>
          </rPr>
          <t>copied from Pilsner</t>
        </r>
        <r>
          <rPr>
            <sz val="9"/>
            <color indexed="81"/>
            <rFont val="Tahoma"/>
            <family val="2"/>
          </rPr>
          <t xml:space="preserve">
</t>
        </r>
      </text>
    </comment>
    <comment ref="D5" authorId="0" shapeId="0" xr:uid="{00000000-0006-0000-0A00-000007000000}">
      <text>
        <r>
          <rPr>
            <b/>
            <sz val="9"/>
            <color indexed="81"/>
            <rFont val="Tahoma"/>
            <family val="2"/>
          </rPr>
          <t>copied from Pilsner</t>
        </r>
      </text>
    </comment>
    <comment ref="D6" authorId="0" shapeId="0" xr:uid="{00000000-0006-0000-0A00-000008000000}">
      <text>
        <r>
          <rPr>
            <sz val="9"/>
            <color indexed="81"/>
            <rFont val="Tahoma"/>
            <family val="2"/>
          </rPr>
          <t xml:space="preserve">Using Color for Base/Kilned/Toasted malts, applied to an exponential function derived from Pils, Munich 10, and Chocolate malt data.  Color used as a proxy for 'processing'
</t>
        </r>
      </text>
    </comment>
    <comment ref="D7" authorId="0" shapeId="0" xr:uid="{00000000-0006-0000-0A00-000009000000}">
      <text>
        <r>
          <rPr>
            <b/>
            <sz val="9"/>
            <color indexed="81"/>
            <rFont val="Tahoma"/>
            <family val="2"/>
          </rPr>
          <t>copied from Pilsner</t>
        </r>
        <r>
          <rPr>
            <sz val="9"/>
            <color indexed="81"/>
            <rFont val="Tahoma"/>
            <family val="2"/>
          </rPr>
          <t xml:space="preserve">
</t>
        </r>
      </text>
    </comment>
    <comment ref="D9" authorId="0" shapeId="0" xr:uid="{00000000-0006-0000-0A00-00000A000000}">
      <text>
        <r>
          <rPr>
            <b/>
            <sz val="9"/>
            <color indexed="81"/>
            <rFont val="Tahoma"/>
            <family val="2"/>
          </rPr>
          <t>Copied from C-40</t>
        </r>
        <r>
          <rPr>
            <sz val="9"/>
            <color indexed="81"/>
            <rFont val="Tahoma"/>
            <family val="2"/>
          </rPr>
          <t xml:space="preserve">
</t>
        </r>
      </text>
    </comment>
    <comment ref="D11" authorId="0" shapeId="0" xr:uid="{00000000-0006-0000-0A00-00000B000000}">
      <text>
        <r>
          <rPr>
            <b/>
            <sz val="9"/>
            <color indexed="81"/>
            <rFont val="Tahoma"/>
            <family val="2"/>
          </rPr>
          <t>derived from Doss data</t>
        </r>
        <r>
          <rPr>
            <sz val="9"/>
            <color indexed="81"/>
            <rFont val="Tahoma"/>
            <family val="2"/>
          </rPr>
          <t xml:space="preserve">
</t>
        </r>
      </text>
    </comment>
    <comment ref="D12" authorId="0" shapeId="0" xr:uid="{00000000-0006-0000-0A00-00000C000000}">
      <text>
        <r>
          <rPr>
            <b/>
            <sz val="9"/>
            <color indexed="81"/>
            <rFont val="Tahoma"/>
            <family val="2"/>
          </rPr>
          <t>derived from Doss data</t>
        </r>
        <r>
          <rPr>
            <sz val="9"/>
            <color indexed="81"/>
            <rFont val="Tahoma"/>
            <family val="2"/>
          </rPr>
          <t xml:space="preserve">
</t>
        </r>
      </text>
    </comment>
    <comment ref="D13" authorId="0" shapeId="0" xr:uid="{00000000-0006-0000-0A00-00000D000000}">
      <text>
        <r>
          <rPr>
            <b/>
            <sz val="9"/>
            <color indexed="81"/>
            <rFont val="Tahoma"/>
            <family val="2"/>
          </rPr>
          <t>derived from Doss data</t>
        </r>
        <r>
          <rPr>
            <sz val="9"/>
            <color indexed="81"/>
            <rFont val="Tahoma"/>
            <family val="2"/>
          </rPr>
          <t xml:space="preserve">
</t>
        </r>
      </text>
    </comment>
    <comment ref="D14" authorId="2" shapeId="0" xr:uid="{00000000-0006-0000-0A00-00000E000000}">
      <text>
        <r>
          <rPr>
            <b/>
            <sz val="9"/>
            <color indexed="81"/>
            <rFont val="Tahoma"/>
            <family val="2"/>
          </rPr>
          <t>Based on an assumption of a blend 90% 12L Munich, 5% 20L Melanoidin, 5% Caramel Pils</t>
        </r>
        <r>
          <rPr>
            <sz val="9"/>
            <color indexed="81"/>
            <rFont val="Tahoma"/>
            <family val="2"/>
          </rPr>
          <t xml:space="preserve">
</t>
        </r>
      </text>
    </comment>
    <comment ref="H14" authorId="2" shapeId="0" xr:uid="{00000000-0006-0000-0A00-00000F000000}">
      <text>
        <r>
          <rPr>
            <b/>
            <sz val="9"/>
            <color indexed="81"/>
            <rFont val="Tahoma"/>
            <family val="2"/>
          </rPr>
          <t>"Base" is best choice here, although there is reportedly some caramel/carapils in the blend.</t>
        </r>
        <r>
          <rPr>
            <sz val="9"/>
            <color indexed="81"/>
            <rFont val="Tahoma"/>
            <family val="2"/>
          </rPr>
          <t xml:space="preserve">
</t>
        </r>
      </text>
    </comment>
    <comment ref="D15" authorId="0" shapeId="0" xr:uid="{00000000-0006-0000-0A00-000010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6" authorId="0" shapeId="0" xr:uid="{00000000-0006-0000-0A00-000011000000}">
      <text>
        <r>
          <rPr>
            <sz val="9"/>
            <color indexed="81"/>
            <rFont val="Tahoma"/>
            <family val="2"/>
          </rPr>
          <t>copied from roasted barley</t>
        </r>
      </text>
    </comment>
    <comment ref="D17" authorId="0" shapeId="0" xr:uid="{00000000-0006-0000-0A00-000012000000}">
      <text>
        <r>
          <rPr>
            <b/>
            <sz val="9"/>
            <color indexed="81"/>
            <rFont val="Tahoma"/>
            <family val="2"/>
          </rPr>
          <t>copied from C-40</t>
        </r>
        <r>
          <rPr>
            <sz val="9"/>
            <color indexed="81"/>
            <rFont val="Tahoma"/>
            <family val="2"/>
          </rPr>
          <t xml:space="preserve">
</t>
        </r>
      </text>
    </comment>
    <comment ref="D18" authorId="0" shapeId="0" xr:uid="{00000000-0006-0000-0A00-000013000000}">
      <text>
        <r>
          <rPr>
            <b/>
            <sz val="9"/>
            <color indexed="81"/>
            <rFont val="Tahoma"/>
            <family val="2"/>
          </rPr>
          <t>derived from Doss data</t>
        </r>
        <r>
          <rPr>
            <sz val="9"/>
            <color indexed="81"/>
            <rFont val="Tahoma"/>
            <family val="2"/>
          </rPr>
          <t xml:space="preserve">
</t>
        </r>
      </text>
    </comment>
    <comment ref="D19" authorId="0" shapeId="0" xr:uid="{00000000-0006-0000-0A00-000014000000}">
      <text>
        <r>
          <rPr>
            <b/>
            <sz val="9"/>
            <color indexed="81"/>
            <rFont val="Tahoma"/>
            <family val="2"/>
          </rPr>
          <t>Copied from Roasted Barley</t>
        </r>
      </text>
    </comment>
    <comment ref="D20" authorId="0" shapeId="0" xr:uid="{00000000-0006-0000-0A00-000015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21" authorId="0" shapeId="0" xr:uid="{00000000-0006-0000-0A00-000016000000}">
      <text>
        <r>
          <rPr>
            <b/>
            <sz val="9"/>
            <color indexed="81"/>
            <rFont val="Tahoma"/>
            <family val="2"/>
          </rPr>
          <t>derived from Doss data</t>
        </r>
        <r>
          <rPr>
            <sz val="9"/>
            <color indexed="81"/>
            <rFont val="Tahoma"/>
            <family val="2"/>
          </rPr>
          <t xml:space="preserve">
</t>
        </r>
      </text>
    </comment>
    <comment ref="D22" authorId="0" shapeId="0" xr:uid="{00000000-0006-0000-0A00-000017000000}">
      <text>
        <r>
          <rPr>
            <b/>
            <sz val="9"/>
            <color indexed="81"/>
            <rFont val="Tahoma"/>
            <family val="2"/>
          </rPr>
          <t>Copied from C-40</t>
        </r>
        <r>
          <rPr>
            <sz val="9"/>
            <color indexed="81"/>
            <rFont val="Tahoma"/>
            <family val="2"/>
          </rPr>
          <t xml:space="preserve">
</t>
        </r>
      </text>
    </comment>
    <comment ref="D23" authorId="0" shapeId="0" xr:uid="{00000000-0006-0000-0A00-000018000000}">
      <text>
        <r>
          <rPr>
            <b/>
            <sz val="9"/>
            <color indexed="81"/>
            <rFont val="Tahoma"/>
            <family val="2"/>
          </rPr>
          <t>jbakajust1</t>
        </r>
        <r>
          <rPr>
            <sz val="9"/>
            <color indexed="81"/>
            <rFont val="Tahoma"/>
            <family val="2"/>
          </rPr>
          <t xml:space="preserve">
</t>
        </r>
      </text>
    </comment>
    <comment ref="D24" authorId="0" shapeId="0" xr:uid="{00000000-0006-0000-0A00-000019000000}">
      <text>
        <r>
          <rPr>
            <b/>
            <sz val="9"/>
            <color indexed="81"/>
            <rFont val="Tahoma"/>
            <family val="2"/>
          </rPr>
          <t xml:space="preserve">based on sucrose and Molasses portions
</t>
        </r>
        <r>
          <rPr>
            <sz val="9"/>
            <color indexed="81"/>
            <rFont val="Tahoma"/>
            <family val="2"/>
          </rPr>
          <t xml:space="preserve">
</t>
        </r>
      </text>
    </comment>
    <comment ref="D25" authorId="0" shapeId="0" xr:uid="{00000000-0006-0000-0A00-00001A000000}">
      <text>
        <r>
          <rPr>
            <b/>
            <sz val="9"/>
            <color indexed="81"/>
            <rFont val="Tahoma"/>
            <family val="2"/>
          </rPr>
          <t>Based on Sucrose and Mollases portions</t>
        </r>
        <r>
          <rPr>
            <sz val="9"/>
            <color indexed="81"/>
            <rFont val="Tahoma"/>
            <family val="2"/>
          </rPr>
          <t xml:space="preserve">
</t>
        </r>
      </text>
    </comment>
    <comment ref="D26" authorId="0" shapeId="0" xr:uid="{00000000-0006-0000-0A00-00001B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27" authorId="0" shapeId="0" xr:uid="{00000000-0006-0000-0A00-00001C000000}">
      <text>
        <r>
          <rPr>
            <b/>
            <sz val="9"/>
            <color indexed="81"/>
            <rFont val="Tahoma"/>
            <family val="2"/>
          </rPr>
          <t>Derived from Doss data</t>
        </r>
        <r>
          <rPr>
            <sz val="9"/>
            <color indexed="81"/>
            <rFont val="Tahoma"/>
            <family val="2"/>
          </rPr>
          <t xml:space="preserve">
</t>
        </r>
      </text>
    </comment>
    <comment ref="D28" authorId="0" shapeId="0" xr:uid="{00000000-0006-0000-0A00-00001D000000}">
      <text>
        <r>
          <rPr>
            <b/>
            <sz val="9"/>
            <color indexed="81"/>
            <rFont val="Tahoma"/>
            <family val="2"/>
          </rPr>
          <t>based on Naugled's data</t>
        </r>
      </text>
    </comment>
    <comment ref="D29" authorId="0" shapeId="0" xr:uid="{00000000-0006-0000-0A00-00001E000000}">
      <text>
        <r>
          <rPr>
            <b/>
            <sz val="9"/>
            <color indexed="81"/>
            <rFont val="Tahoma"/>
            <family val="2"/>
          </rPr>
          <t>Copied from C-40</t>
        </r>
        <r>
          <rPr>
            <sz val="9"/>
            <color indexed="81"/>
            <rFont val="Tahoma"/>
            <family val="2"/>
          </rPr>
          <t xml:space="preserve">
</t>
        </r>
      </text>
    </comment>
    <comment ref="D30" authorId="0" shapeId="0" xr:uid="{00000000-0006-0000-0A00-00001F000000}">
      <text>
        <r>
          <rPr>
            <sz val="9"/>
            <color indexed="81"/>
            <rFont val="Tahoma"/>
            <family val="2"/>
          </rPr>
          <t xml:space="preserve">copied from roasted barley
</t>
        </r>
      </text>
    </comment>
    <comment ref="D32" authorId="0" shapeId="0" xr:uid="{00000000-0006-0000-0A00-000020000000}">
      <text>
        <r>
          <rPr>
            <b/>
            <sz val="9"/>
            <color indexed="81"/>
            <rFont val="Tahoma"/>
            <family val="2"/>
          </rPr>
          <t>Copied from C-40</t>
        </r>
        <r>
          <rPr>
            <sz val="9"/>
            <color indexed="81"/>
            <rFont val="Tahoma"/>
            <family val="2"/>
          </rPr>
          <t xml:space="preserve">
</t>
        </r>
      </text>
    </comment>
    <comment ref="D33" authorId="0" shapeId="0" xr:uid="{00000000-0006-0000-0A00-000021000000}">
      <text>
        <r>
          <rPr>
            <b/>
            <sz val="9"/>
            <color indexed="81"/>
            <rFont val="Tahoma"/>
            <family val="2"/>
          </rPr>
          <t>Copied from C-40</t>
        </r>
        <r>
          <rPr>
            <sz val="9"/>
            <color indexed="81"/>
            <rFont val="Tahoma"/>
            <family val="2"/>
          </rPr>
          <t xml:space="preserve">
</t>
        </r>
      </text>
    </comment>
    <comment ref="D34" authorId="0" shapeId="0" xr:uid="{00000000-0006-0000-0A00-000022000000}">
      <text>
        <r>
          <rPr>
            <b/>
            <sz val="9"/>
            <color indexed="81"/>
            <rFont val="Tahoma"/>
            <family val="2"/>
          </rPr>
          <t>Copied from C-40</t>
        </r>
        <r>
          <rPr>
            <sz val="9"/>
            <color indexed="81"/>
            <rFont val="Tahoma"/>
            <family val="2"/>
          </rPr>
          <t xml:space="preserve">
</t>
        </r>
      </text>
    </comment>
    <comment ref="D35" authorId="0" shapeId="0" xr:uid="{00000000-0006-0000-0A00-000023000000}">
      <text>
        <r>
          <rPr>
            <b/>
            <sz val="9"/>
            <color indexed="81"/>
            <rFont val="Tahoma"/>
            <family val="2"/>
          </rPr>
          <t>Derived from Doss data.</t>
        </r>
        <r>
          <rPr>
            <sz val="9"/>
            <color indexed="81"/>
            <rFont val="Tahoma"/>
            <family val="2"/>
          </rPr>
          <t xml:space="preserve">
</t>
        </r>
      </text>
    </comment>
    <comment ref="D36" authorId="0" shapeId="0" xr:uid="{00000000-0006-0000-0A00-000024000000}">
      <text>
        <r>
          <rPr>
            <b/>
            <sz val="9"/>
            <color indexed="81"/>
            <rFont val="Tahoma"/>
            <family val="2"/>
          </rPr>
          <t>Copied from C-40</t>
        </r>
        <r>
          <rPr>
            <sz val="9"/>
            <color indexed="81"/>
            <rFont val="Tahoma"/>
            <family val="2"/>
          </rPr>
          <t xml:space="preserve">
</t>
        </r>
      </text>
    </comment>
    <comment ref="D37" authorId="0" shapeId="0" xr:uid="{00000000-0006-0000-0A00-000025000000}">
      <text>
        <r>
          <rPr>
            <b/>
            <sz val="9"/>
            <color indexed="81"/>
            <rFont val="Tahoma"/>
            <family val="2"/>
          </rPr>
          <t>derived from Doss data</t>
        </r>
      </text>
    </comment>
    <comment ref="D38" authorId="0" shapeId="0" xr:uid="{00000000-0006-0000-0A00-000026000000}">
      <text>
        <r>
          <rPr>
            <b/>
            <sz val="9"/>
            <color indexed="81"/>
            <rFont val="Tahoma"/>
            <family val="2"/>
          </rPr>
          <t>Copied from C-40</t>
        </r>
        <r>
          <rPr>
            <sz val="9"/>
            <color indexed="81"/>
            <rFont val="Tahoma"/>
            <family val="2"/>
          </rPr>
          <t xml:space="preserve">
</t>
        </r>
      </text>
    </comment>
    <comment ref="D39" authorId="0" shapeId="0" xr:uid="{00000000-0006-0000-0A00-000027000000}">
      <text>
        <r>
          <rPr>
            <b/>
            <sz val="9"/>
            <color indexed="81"/>
            <rFont val="Tahoma"/>
            <family val="2"/>
          </rPr>
          <t>Copied from C-40</t>
        </r>
        <r>
          <rPr>
            <sz val="9"/>
            <color indexed="81"/>
            <rFont val="Tahoma"/>
            <family val="2"/>
          </rPr>
          <t xml:space="preserve">
</t>
        </r>
      </text>
    </comment>
    <comment ref="D40" authorId="0" shapeId="0" xr:uid="{00000000-0006-0000-0A00-000028000000}">
      <text>
        <r>
          <rPr>
            <b/>
            <sz val="9"/>
            <color indexed="81"/>
            <rFont val="Tahoma"/>
            <family val="2"/>
          </rPr>
          <t>Derived from Doss data</t>
        </r>
        <r>
          <rPr>
            <sz val="9"/>
            <color indexed="81"/>
            <rFont val="Tahoma"/>
            <family val="2"/>
          </rPr>
          <t xml:space="preserve">
</t>
        </r>
      </text>
    </comment>
    <comment ref="D42" authorId="0" shapeId="0" xr:uid="{00000000-0006-0000-0A00-000029000000}">
      <text>
        <r>
          <rPr>
            <b/>
            <sz val="9"/>
            <color indexed="81"/>
            <rFont val="Tahoma"/>
            <family val="2"/>
          </rPr>
          <t>Copied from C-40</t>
        </r>
        <r>
          <rPr>
            <sz val="9"/>
            <color indexed="81"/>
            <rFont val="Tahoma"/>
            <family val="2"/>
          </rPr>
          <t xml:space="preserve">
</t>
        </r>
      </text>
    </comment>
    <comment ref="D43" authorId="0" shapeId="0" xr:uid="{00000000-0006-0000-0A00-00002A000000}">
      <text>
        <r>
          <rPr>
            <b/>
            <sz val="9"/>
            <color indexed="81"/>
            <rFont val="Tahoma"/>
            <family val="2"/>
          </rPr>
          <t>Copied from C-40</t>
        </r>
        <r>
          <rPr>
            <sz val="9"/>
            <color indexed="81"/>
            <rFont val="Tahoma"/>
            <family val="2"/>
          </rPr>
          <t xml:space="preserve">
</t>
        </r>
      </text>
    </comment>
    <comment ref="D44" authorId="0" shapeId="0" xr:uid="{00000000-0006-0000-0A00-00002B000000}">
      <text>
        <r>
          <rPr>
            <b/>
            <sz val="9"/>
            <color indexed="81"/>
            <rFont val="Tahoma"/>
            <family val="2"/>
          </rPr>
          <t>Copied from C-40</t>
        </r>
        <r>
          <rPr>
            <sz val="9"/>
            <color indexed="81"/>
            <rFont val="Tahoma"/>
            <family val="2"/>
          </rPr>
          <t xml:space="preserve">
</t>
        </r>
      </text>
    </comment>
    <comment ref="D45" authorId="0" shapeId="0" xr:uid="{00000000-0006-0000-0A00-00002C000000}">
      <text>
        <r>
          <rPr>
            <b/>
            <sz val="9"/>
            <color indexed="81"/>
            <rFont val="Tahoma"/>
            <family val="2"/>
          </rPr>
          <t>Copied from C-40</t>
        </r>
        <r>
          <rPr>
            <sz val="9"/>
            <color indexed="81"/>
            <rFont val="Tahoma"/>
            <family val="2"/>
          </rPr>
          <t xml:space="preserve">
</t>
        </r>
      </text>
    </comment>
    <comment ref="D46" authorId="0" shapeId="0" xr:uid="{00000000-0006-0000-0A00-00002D000000}">
      <text>
        <r>
          <rPr>
            <b/>
            <sz val="9"/>
            <color indexed="81"/>
            <rFont val="Tahoma"/>
            <family val="2"/>
          </rPr>
          <t>Copied from C-40</t>
        </r>
        <r>
          <rPr>
            <sz val="9"/>
            <color indexed="81"/>
            <rFont val="Tahoma"/>
            <family val="2"/>
          </rPr>
          <t xml:space="preserve">
</t>
        </r>
      </text>
    </comment>
    <comment ref="D47" authorId="0" shapeId="0" xr:uid="{00000000-0006-0000-0A00-00002E000000}">
      <text>
        <r>
          <rPr>
            <b/>
            <sz val="9"/>
            <color indexed="81"/>
            <rFont val="Tahoma"/>
            <family val="2"/>
          </rPr>
          <t>jbakajust1</t>
        </r>
      </text>
    </comment>
    <comment ref="D48" authorId="0" shapeId="0" xr:uid="{00000000-0006-0000-0A00-00002F000000}">
      <text>
        <r>
          <rPr>
            <b/>
            <sz val="9"/>
            <color indexed="81"/>
            <rFont val="Tahoma"/>
            <family val="2"/>
          </rPr>
          <t>Copied from C-40</t>
        </r>
        <r>
          <rPr>
            <sz val="9"/>
            <color indexed="81"/>
            <rFont val="Tahoma"/>
            <family val="2"/>
          </rPr>
          <t xml:space="preserve">
</t>
        </r>
      </text>
    </comment>
    <comment ref="D49" authorId="0" shapeId="0" xr:uid="{00000000-0006-0000-0A00-000030000000}">
      <text>
        <r>
          <rPr>
            <b/>
            <sz val="9"/>
            <color indexed="81"/>
            <rFont val="Tahoma"/>
            <family val="2"/>
          </rPr>
          <t>jbakajust1</t>
        </r>
        <r>
          <rPr>
            <sz val="9"/>
            <color indexed="81"/>
            <rFont val="Tahoma"/>
            <family val="2"/>
          </rPr>
          <t xml:space="preserve">
</t>
        </r>
      </text>
    </comment>
    <comment ref="D50" authorId="0" shapeId="0" xr:uid="{00000000-0006-0000-0A00-000031000000}">
      <text>
        <r>
          <rPr>
            <b/>
            <sz val="9"/>
            <color indexed="81"/>
            <rFont val="Tahoma"/>
            <family val="2"/>
          </rPr>
          <t>Doss data</t>
        </r>
        <r>
          <rPr>
            <sz val="9"/>
            <color indexed="81"/>
            <rFont val="Tahoma"/>
            <family val="2"/>
          </rPr>
          <t xml:space="preserve">
</t>
        </r>
      </text>
    </comment>
    <comment ref="D51" authorId="0" shapeId="0" xr:uid="{00000000-0006-0000-0A00-000032000000}">
      <text>
        <r>
          <rPr>
            <b/>
            <sz val="9"/>
            <color indexed="81"/>
            <rFont val="Tahoma"/>
            <family val="2"/>
          </rPr>
          <t xml:space="preserve">Theoretical
</t>
        </r>
        <r>
          <rPr>
            <sz val="9"/>
            <color indexed="81"/>
            <rFont val="Tahoma"/>
            <family val="2"/>
          </rPr>
          <t xml:space="preserve">
</t>
        </r>
      </text>
    </comment>
    <comment ref="D52" authorId="0" shapeId="0" xr:uid="{00000000-0006-0000-0A00-000033000000}">
      <text>
        <r>
          <rPr>
            <b/>
            <sz val="9"/>
            <color indexed="81"/>
            <rFont val="Tahoma"/>
            <family val="2"/>
          </rPr>
          <t>theoretical</t>
        </r>
      </text>
    </comment>
    <comment ref="D53" authorId="0" shapeId="0" xr:uid="{00000000-0006-0000-0A00-000034000000}">
      <text>
        <r>
          <rPr>
            <b/>
            <sz val="9"/>
            <color indexed="81"/>
            <rFont val="Tahoma"/>
            <family val="2"/>
          </rPr>
          <t xml:space="preserve">Copied from Roasted Barley
</t>
        </r>
      </text>
    </comment>
    <comment ref="D54" authorId="0" shapeId="0" xr:uid="{00000000-0006-0000-0A00-000035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55" authorId="0" shapeId="0" xr:uid="{00000000-0006-0000-0A00-000036000000}">
      <text>
        <r>
          <rPr>
            <b/>
            <sz val="9"/>
            <color indexed="81"/>
            <rFont val="Tahoma"/>
            <family val="2"/>
          </rPr>
          <t>derived from Doss Data</t>
        </r>
      </text>
    </comment>
    <comment ref="D56" authorId="0" shapeId="0" xr:uid="{00000000-0006-0000-0A00-000037000000}">
      <text>
        <r>
          <rPr>
            <sz val="9"/>
            <color indexed="81"/>
            <rFont val="Tahoma"/>
            <family val="2"/>
          </rPr>
          <t>derived from Doss data</t>
        </r>
      </text>
    </comment>
    <comment ref="D57" authorId="0" shapeId="0" xr:uid="{00000000-0006-0000-0A00-000038000000}">
      <text>
        <r>
          <rPr>
            <b/>
            <sz val="9"/>
            <color indexed="81"/>
            <rFont val="Tahoma"/>
            <family val="2"/>
          </rPr>
          <t>Formula yields 79.  Experience is closer to pilsner.  Split the difference.</t>
        </r>
      </text>
    </comment>
    <comment ref="D58" authorId="0" shapeId="0" xr:uid="{00000000-0006-0000-0A00-000039000000}">
      <text>
        <r>
          <rPr>
            <b/>
            <sz val="9"/>
            <color indexed="81"/>
            <rFont val="Tahoma"/>
            <family val="2"/>
          </rPr>
          <t>copied from Dark Brown sugar</t>
        </r>
        <r>
          <rPr>
            <sz val="9"/>
            <color indexed="81"/>
            <rFont val="Tahoma"/>
            <family val="2"/>
          </rPr>
          <t xml:space="preserve">
</t>
        </r>
      </text>
    </comment>
    <comment ref="D59" authorId="0" shapeId="0" xr:uid="{00000000-0006-0000-0A00-00003A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60" authorId="0" shapeId="0" xr:uid="{00000000-0006-0000-0A00-00003B000000}">
      <text>
        <r>
          <rPr>
            <b/>
            <sz val="9"/>
            <color indexed="81"/>
            <rFont val="Tahoma"/>
            <family val="2"/>
          </rPr>
          <t>Based on 65% Wheat and 35% Pale</t>
        </r>
        <r>
          <rPr>
            <sz val="9"/>
            <color indexed="81"/>
            <rFont val="Tahoma"/>
            <family val="2"/>
          </rPr>
          <t xml:space="preserve">
</t>
        </r>
      </text>
    </comment>
    <comment ref="D61" authorId="0" shapeId="0" xr:uid="{00000000-0006-0000-0A00-00003C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62" authorId="0" shapeId="0" xr:uid="{00000000-0006-0000-0A00-00003D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63" authorId="0" shapeId="0" xr:uid="{00000000-0006-0000-0A00-00003E000000}">
      <text>
        <r>
          <rPr>
            <b/>
            <sz val="9"/>
            <color indexed="81"/>
            <rFont val="Tahoma"/>
            <family val="2"/>
          </rPr>
          <t xml:space="preserve">based on mix of 95% pils and 5% carapils
</t>
        </r>
        <r>
          <rPr>
            <sz val="9"/>
            <color indexed="81"/>
            <rFont val="Tahoma"/>
            <family val="2"/>
          </rPr>
          <t xml:space="preserve">
</t>
        </r>
      </text>
    </comment>
    <comment ref="D64" authorId="0" shapeId="0" xr:uid="{00000000-0006-0000-0A00-00003F000000}">
      <text>
        <r>
          <rPr>
            <b/>
            <sz val="9"/>
            <color indexed="81"/>
            <rFont val="Tahoma"/>
            <family val="2"/>
          </rPr>
          <t xml:space="preserve">based on mix of 95% pils and 5% carapils
</t>
        </r>
        <r>
          <rPr>
            <sz val="9"/>
            <color indexed="81"/>
            <rFont val="Tahoma"/>
            <family val="2"/>
          </rPr>
          <t xml:space="preserve">
</t>
        </r>
      </text>
    </comment>
    <comment ref="D65" authorId="0" shapeId="0" xr:uid="{00000000-0006-0000-0A00-000040000000}">
      <text>
        <r>
          <rPr>
            <b/>
            <sz val="9"/>
            <color indexed="81"/>
            <rFont val="Tahoma"/>
            <family val="2"/>
          </rPr>
          <t xml:space="preserve">based on mix of 95% pils and 5% carapils
 </t>
        </r>
        <r>
          <rPr>
            <sz val="9"/>
            <color indexed="81"/>
            <rFont val="Tahoma"/>
            <family val="2"/>
          </rPr>
          <t xml:space="preserve">
</t>
        </r>
      </text>
    </comment>
    <comment ref="D66" authorId="0" shapeId="0" xr:uid="{00000000-0006-0000-0A00-000041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67" authorId="0" shapeId="0" xr:uid="{00000000-0006-0000-0A00-000042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68" authorId="0" shapeId="0" xr:uid="{00000000-0006-0000-0A00-000043000000}">
      <text>
        <r>
          <rPr>
            <b/>
            <sz val="9"/>
            <color indexed="81"/>
            <rFont val="Tahoma"/>
            <family val="2"/>
          </rPr>
          <t>Based on 65% Wheat and 35% Pale</t>
        </r>
        <r>
          <rPr>
            <sz val="9"/>
            <color indexed="81"/>
            <rFont val="Tahoma"/>
            <family val="2"/>
          </rPr>
          <t xml:space="preserve">
</t>
        </r>
      </text>
    </comment>
    <comment ref="D69" authorId="0" shapeId="0" xr:uid="{00000000-0006-0000-0A00-000044000000}">
      <text>
        <r>
          <rPr>
            <b/>
            <sz val="9"/>
            <color indexed="81"/>
            <rFont val="Tahoma"/>
            <family val="2"/>
          </rPr>
          <t xml:space="preserve">based on mix of 95% pils and 5% carapils
</t>
        </r>
        <r>
          <rPr>
            <sz val="9"/>
            <color indexed="81"/>
            <rFont val="Tahoma"/>
            <family val="2"/>
          </rPr>
          <t xml:space="preserve">
</t>
        </r>
      </text>
    </comment>
    <comment ref="D70" authorId="0" shapeId="0" xr:uid="{00000000-0006-0000-0A00-000045000000}">
      <text>
        <r>
          <rPr>
            <b/>
            <sz val="9"/>
            <color indexed="81"/>
            <rFont val="Tahoma"/>
            <family val="2"/>
          </rPr>
          <t>Copied from C-40</t>
        </r>
        <r>
          <rPr>
            <sz val="9"/>
            <color indexed="81"/>
            <rFont val="Tahoma"/>
            <family val="2"/>
          </rPr>
          <t xml:space="preserve">
</t>
        </r>
      </text>
    </comment>
    <comment ref="D71" authorId="0" shapeId="0" xr:uid="{00000000-0006-0000-0A00-000046000000}">
      <text>
        <r>
          <rPr>
            <b/>
            <sz val="9"/>
            <color indexed="81"/>
            <rFont val="Tahoma"/>
            <family val="2"/>
          </rPr>
          <t>derived from Doss Data</t>
        </r>
      </text>
    </comment>
    <comment ref="D72" authorId="0" shapeId="0" xr:uid="{00000000-0006-0000-0A00-000047000000}">
      <text>
        <r>
          <rPr>
            <b/>
            <sz val="9"/>
            <color indexed="81"/>
            <rFont val="Tahoma"/>
            <family val="2"/>
          </rPr>
          <t>copied from Pilsner</t>
        </r>
        <r>
          <rPr>
            <sz val="9"/>
            <color indexed="81"/>
            <rFont val="Tahoma"/>
            <family val="2"/>
          </rPr>
          <t xml:space="preserve">
</t>
        </r>
      </text>
    </comment>
    <comment ref="D73" authorId="0" shapeId="0" xr:uid="{00000000-0006-0000-0A00-000048000000}">
      <text>
        <r>
          <rPr>
            <b/>
            <sz val="9"/>
            <color indexed="81"/>
            <rFont val="Tahoma"/>
            <family val="2"/>
          </rPr>
          <t>copied from Pilsner</t>
        </r>
        <r>
          <rPr>
            <sz val="9"/>
            <color indexed="81"/>
            <rFont val="Tahoma"/>
            <family val="2"/>
          </rPr>
          <t xml:space="preserve">
</t>
        </r>
      </text>
    </comment>
    <comment ref="D74" authorId="0" shapeId="0" xr:uid="{00000000-0006-0000-0A00-000049000000}">
      <text>
        <r>
          <rPr>
            <b/>
            <sz val="9"/>
            <color indexed="81"/>
            <rFont val="Tahoma"/>
            <family val="2"/>
          </rPr>
          <t xml:space="preserve">derived from Doss data
</t>
        </r>
      </text>
    </comment>
    <comment ref="D75" authorId="0" shapeId="0" xr:uid="{00000000-0006-0000-0A00-00004A000000}">
      <text>
        <r>
          <rPr>
            <b/>
            <sz val="9"/>
            <color indexed="81"/>
            <rFont val="Tahoma"/>
            <family val="2"/>
          </rPr>
          <t>copied from Pilsner</t>
        </r>
        <r>
          <rPr>
            <sz val="9"/>
            <color indexed="81"/>
            <rFont val="Tahoma"/>
            <family val="2"/>
          </rPr>
          <t xml:space="preserve">
</t>
        </r>
      </text>
    </comment>
    <comment ref="D76" authorId="0" shapeId="0" xr:uid="{00000000-0006-0000-0A00-00004B000000}">
      <text>
        <r>
          <rPr>
            <b/>
            <sz val="9"/>
            <color indexed="81"/>
            <rFont val="Tahoma"/>
            <family val="2"/>
          </rPr>
          <t>copied from wheat</t>
        </r>
      </text>
    </comment>
    <comment ref="D77" authorId="0" shapeId="0" xr:uid="{00000000-0006-0000-0A00-00004C000000}">
      <text>
        <r>
          <rPr>
            <b/>
            <sz val="9"/>
            <color indexed="81"/>
            <rFont val="Tahoma"/>
            <family val="2"/>
          </rPr>
          <t>copied from wheat</t>
        </r>
        <r>
          <rPr>
            <sz val="9"/>
            <color indexed="81"/>
            <rFont val="Tahoma"/>
            <family val="2"/>
          </rPr>
          <t xml:space="preserve">
</t>
        </r>
      </text>
    </comment>
    <comment ref="D78" authorId="0" shapeId="0" xr:uid="{00000000-0006-0000-0A00-00004D000000}">
      <text>
        <r>
          <rPr>
            <b/>
            <sz val="9"/>
            <color indexed="81"/>
            <rFont val="Tahoma"/>
            <family val="2"/>
          </rPr>
          <t>based on Doss data</t>
        </r>
      </text>
    </comment>
    <comment ref="D79" authorId="0" shapeId="0" xr:uid="{00000000-0006-0000-0A00-00004E000000}">
      <text>
        <r>
          <rPr>
            <b/>
            <sz val="9"/>
            <color indexed="81"/>
            <rFont val="Tahoma"/>
            <family val="2"/>
          </rPr>
          <t>Derived from Doss data</t>
        </r>
        <r>
          <rPr>
            <sz val="9"/>
            <color indexed="81"/>
            <rFont val="Tahoma"/>
            <family val="2"/>
          </rPr>
          <t xml:space="preserve">
</t>
        </r>
      </text>
    </comment>
    <comment ref="D80" authorId="0" shapeId="0" xr:uid="{00000000-0006-0000-0A00-00004F000000}">
      <text>
        <r>
          <rPr>
            <b/>
            <sz val="9"/>
            <color indexed="81"/>
            <rFont val="Tahoma"/>
            <family val="2"/>
          </rPr>
          <t>Derived from Doss data</t>
        </r>
        <r>
          <rPr>
            <sz val="9"/>
            <color indexed="81"/>
            <rFont val="Tahoma"/>
            <family val="2"/>
          </rPr>
          <t xml:space="preserve">
</t>
        </r>
      </text>
    </comment>
    <comment ref="D81" authorId="0" shapeId="0" xr:uid="{00000000-0006-0000-0A00-000050000000}">
      <text>
        <r>
          <rPr>
            <b/>
            <sz val="9"/>
            <color indexed="81"/>
            <rFont val="Tahoma"/>
            <family val="2"/>
          </rPr>
          <t>Mick:</t>
        </r>
        <r>
          <rPr>
            <sz val="9"/>
            <color indexed="81"/>
            <rFont val="Tahoma"/>
            <family val="2"/>
          </rPr>
          <t xml:space="preserve">
</t>
        </r>
      </text>
    </comment>
    <comment ref="D82" authorId="0" shapeId="0" xr:uid="{00000000-0006-0000-0A00-000051000000}">
      <text>
        <r>
          <rPr>
            <b/>
            <sz val="9"/>
            <color indexed="81"/>
            <rFont val="Tahoma"/>
            <family val="2"/>
          </rPr>
          <t>Theoretical</t>
        </r>
        <r>
          <rPr>
            <sz val="9"/>
            <color indexed="81"/>
            <rFont val="Tahoma"/>
            <family val="2"/>
          </rPr>
          <t xml:space="preserve">
</t>
        </r>
      </text>
    </comment>
    <comment ref="D83" authorId="0" shapeId="0" xr:uid="{00000000-0006-0000-0A00-000052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84" authorId="0" shapeId="0" xr:uid="{00000000-0006-0000-0A00-000053000000}">
      <text>
        <r>
          <rPr>
            <b/>
            <sz val="9"/>
            <color indexed="81"/>
            <rFont val="Tahoma"/>
            <family val="2"/>
          </rPr>
          <t>Theoretical</t>
        </r>
        <r>
          <rPr>
            <sz val="9"/>
            <color indexed="81"/>
            <rFont val="Tahoma"/>
            <family val="2"/>
          </rPr>
          <t xml:space="preserve">
</t>
        </r>
      </text>
    </comment>
    <comment ref="D85" authorId="0" shapeId="0" xr:uid="{00000000-0006-0000-0A00-000054000000}">
      <text>
        <r>
          <rPr>
            <b/>
            <sz val="9"/>
            <color indexed="81"/>
            <rFont val="Tahoma"/>
            <family val="2"/>
          </rPr>
          <t xml:space="preserve">Theroretical
</t>
        </r>
        <r>
          <rPr>
            <sz val="9"/>
            <color indexed="81"/>
            <rFont val="Tahoma"/>
            <family val="2"/>
          </rPr>
          <t xml:space="preserve">
</t>
        </r>
      </text>
    </comment>
    <comment ref="D86" authorId="0" shapeId="0" xr:uid="{00000000-0006-0000-0A00-000055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87" authorId="0" shapeId="0" xr:uid="{00000000-0006-0000-0A00-000056000000}">
      <text>
        <r>
          <rPr>
            <b/>
            <sz val="9"/>
            <color indexed="81"/>
            <rFont val="Tahoma"/>
            <family val="2"/>
          </rPr>
          <t xml:space="preserve">Using Color for Base/Kilned/Toasted malts, applied to an exponential function derived from Pils, Munich 10, and Chocolate malt data.  Color used as a proxy for 'processing'
</t>
        </r>
        <r>
          <rPr>
            <sz val="9"/>
            <color indexed="81"/>
            <rFont val="Tahoma"/>
            <family val="2"/>
          </rPr>
          <t xml:space="preserve">
</t>
        </r>
      </text>
    </comment>
    <comment ref="D88" authorId="0" shapeId="0" xr:uid="{00000000-0006-0000-0A00-000057000000}">
      <text>
        <r>
          <rPr>
            <b/>
            <sz val="9"/>
            <color indexed="81"/>
            <rFont val="Tahoma"/>
            <family val="2"/>
          </rPr>
          <t xml:space="preserve">based on mix of 95% pils and 5% carapils
</t>
        </r>
        <r>
          <rPr>
            <sz val="9"/>
            <color indexed="81"/>
            <rFont val="Tahoma"/>
            <family val="2"/>
          </rPr>
          <t xml:space="preserve">
</t>
        </r>
      </text>
    </comment>
    <comment ref="D89" authorId="0" shapeId="0" xr:uid="{00000000-0006-0000-0A00-000058000000}">
      <text>
        <r>
          <rPr>
            <b/>
            <sz val="9"/>
            <color indexed="81"/>
            <rFont val="Tahoma"/>
            <family val="2"/>
          </rPr>
          <t>copied from golden light DME</t>
        </r>
      </text>
    </comment>
    <comment ref="D90" authorId="0" shapeId="0" xr:uid="{00000000-0006-0000-0A00-000059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91" authorId="0" shapeId="0" xr:uid="{00000000-0006-0000-0A00-00005A000000}">
      <text>
        <r>
          <rPr>
            <b/>
            <sz val="9"/>
            <color indexed="81"/>
            <rFont val="Tahoma"/>
            <family val="2"/>
          </rPr>
          <t xml:space="preserve">based on mix of 95% pils and 5% carapils
</t>
        </r>
        <r>
          <rPr>
            <sz val="9"/>
            <color indexed="81"/>
            <rFont val="Tahoma"/>
            <family val="2"/>
          </rPr>
          <t xml:space="preserve">
</t>
        </r>
      </text>
    </comment>
    <comment ref="D92" authorId="0" shapeId="0" xr:uid="{00000000-0006-0000-0A00-00005B000000}">
      <text>
        <r>
          <rPr>
            <sz val="9"/>
            <color indexed="81"/>
            <rFont val="Tahoma"/>
            <family val="2"/>
          </rPr>
          <t>Based on 70% 2-row, 20% rye malt, 10% C40</t>
        </r>
      </text>
    </comment>
    <comment ref="D93" authorId="0" shapeId="0" xr:uid="{00000000-0006-0000-0A00-00005C000000}">
      <text>
        <r>
          <rPr>
            <b/>
            <sz val="9"/>
            <color indexed="81"/>
            <rFont val="Tahoma"/>
            <family val="2"/>
          </rPr>
          <t>Wild Guess</t>
        </r>
        <r>
          <rPr>
            <sz val="9"/>
            <color indexed="81"/>
            <rFont val="Tahoma"/>
            <family val="2"/>
          </rPr>
          <t xml:space="preserve">
</t>
        </r>
      </text>
    </comment>
    <comment ref="D94" authorId="0" shapeId="0" xr:uid="{00000000-0006-0000-0A00-00005D000000}">
      <text>
        <r>
          <rPr>
            <b/>
            <sz val="9"/>
            <color indexed="81"/>
            <rFont val="Tahoma"/>
            <family val="2"/>
          </rPr>
          <t>Based on 65% Wheat and 35% Pale</t>
        </r>
        <r>
          <rPr>
            <sz val="9"/>
            <color indexed="81"/>
            <rFont val="Tahoma"/>
            <family val="2"/>
          </rPr>
          <t xml:space="preserve">
</t>
        </r>
      </text>
    </comment>
    <comment ref="D95" authorId="0" shapeId="0" xr:uid="{00000000-0006-0000-0A00-00005E000000}">
      <text>
        <r>
          <rPr>
            <b/>
            <sz val="9"/>
            <color indexed="81"/>
            <rFont val="Tahoma"/>
            <family val="2"/>
          </rPr>
          <t>derived from Doss data</t>
        </r>
        <r>
          <rPr>
            <sz val="9"/>
            <color indexed="81"/>
            <rFont val="Tahoma"/>
            <family val="2"/>
          </rPr>
          <t xml:space="preserve">
</t>
        </r>
      </text>
    </comment>
    <comment ref="D96" authorId="0" shapeId="0" xr:uid="{00000000-0006-0000-0A00-00005F000000}">
      <text>
        <r>
          <rPr>
            <b/>
            <sz val="9"/>
            <color indexed="81"/>
            <rFont val="Tahoma"/>
            <family val="2"/>
          </rPr>
          <t xml:space="preserve">theoretical
</t>
        </r>
        <r>
          <rPr>
            <sz val="9"/>
            <color indexed="81"/>
            <rFont val="Tahoma"/>
            <family val="2"/>
          </rPr>
          <t xml:space="preserve">
</t>
        </r>
      </text>
    </comment>
    <comment ref="D97" authorId="0" shapeId="0" xr:uid="{00000000-0006-0000-0A00-000060000000}">
      <text>
        <r>
          <rPr>
            <b/>
            <sz val="9"/>
            <color indexed="81"/>
            <rFont val="Tahoma"/>
            <family val="2"/>
          </rPr>
          <t>copied from honey</t>
        </r>
        <r>
          <rPr>
            <sz val="9"/>
            <color indexed="81"/>
            <rFont val="Tahoma"/>
            <family val="2"/>
          </rPr>
          <t xml:space="preserve">
</t>
        </r>
      </text>
    </comment>
    <comment ref="D98" authorId="0" shapeId="0" xr:uid="{00000000-0006-0000-0A00-000061000000}">
      <text>
        <r>
          <rPr>
            <b/>
            <sz val="9"/>
            <color indexed="81"/>
            <rFont val="Tahoma"/>
            <family val="2"/>
          </rPr>
          <t>copied from Crisp MO</t>
        </r>
      </text>
    </comment>
    <comment ref="D99" authorId="0" shapeId="0" xr:uid="{00000000-0006-0000-0A00-000062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00" authorId="0" shapeId="0" xr:uid="{00000000-0006-0000-0A00-000063000000}">
      <text>
        <r>
          <rPr>
            <b/>
            <sz val="9"/>
            <color indexed="81"/>
            <rFont val="Tahoma"/>
            <family val="2"/>
          </rPr>
          <t>copied from Maris Otter</t>
        </r>
        <r>
          <rPr>
            <sz val="9"/>
            <color indexed="81"/>
            <rFont val="Tahoma"/>
            <family val="2"/>
          </rPr>
          <t xml:space="preserve">
</t>
        </r>
      </text>
    </comment>
    <comment ref="D101" authorId="0" shapeId="0" xr:uid="{00000000-0006-0000-0A00-000064000000}">
      <text>
        <r>
          <rPr>
            <b/>
            <sz val="9"/>
            <color indexed="81"/>
            <rFont val="Tahoma"/>
            <family val="2"/>
          </rPr>
          <t>Copied from D180</t>
        </r>
      </text>
    </comment>
    <comment ref="D102" authorId="0" shapeId="0" xr:uid="{00000000-0006-0000-0A00-000065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03" authorId="0" shapeId="0" xr:uid="{00000000-0006-0000-0A00-000066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05" authorId="0" shapeId="0" xr:uid="{00000000-0006-0000-0A00-000067000000}">
      <text>
        <r>
          <rPr>
            <b/>
            <sz val="9"/>
            <color indexed="81"/>
            <rFont val="Tahoma"/>
            <family val="2"/>
          </rPr>
          <t>copied from Crisp MO</t>
        </r>
      </text>
    </comment>
    <comment ref="D106" authorId="0" shapeId="0" xr:uid="{00000000-0006-0000-0A00-000068000000}">
      <text>
        <r>
          <rPr>
            <b/>
            <sz val="9"/>
            <color indexed="81"/>
            <rFont val="Tahoma"/>
            <family val="2"/>
          </rPr>
          <t>copied from Crisp MO</t>
        </r>
      </text>
    </comment>
    <comment ref="D107" authorId="0" shapeId="0" xr:uid="{00000000-0006-0000-0A00-000069000000}">
      <text>
        <r>
          <rPr>
            <b/>
            <sz val="9"/>
            <color indexed="81"/>
            <rFont val="Tahoma"/>
            <family val="2"/>
          </rPr>
          <t>jbakajust1</t>
        </r>
        <r>
          <rPr>
            <sz val="9"/>
            <color indexed="81"/>
            <rFont val="Tahoma"/>
            <family val="2"/>
          </rPr>
          <t xml:space="preserve">
</t>
        </r>
      </text>
    </comment>
    <comment ref="D110" authorId="0" shapeId="0" xr:uid="{00000000-0006-0000-0A00-00006A000000}">
      <text>
        <r>
          <rPr>
            <b/>
            <sz val="9"/>
            <color indexed="81"/>
            <rFont val="Tahoma"/>
            <family val="2"/>
          </rPr>
          <t>copied from Pilsner</t>
        </r>
        <r>
          <rPr>
            <sz val="9"/>
            <color indexed="81"/>
            <rFont val="Tahoma"/>
            <family val="2"/>
          </rPr>
          <t xml:space="preserve">
</t>
        </r>
      </text>
    </comment>
    <comment ref="D111" authorId="0" shapeId="0" xr:uid="{00000000-0006-0000-0A00-00006B000000}">
      <text>
        <r>
          <rPr>
            <b/>
            <sz val="9"/>
            <color indexed="81"/>
            <rFont val="Tahoma"/>
            <family val="2"/>
          </rPr>
          <t>based on Doss data</t>
        </r>
      </text>
    </comment>
    <comment ref="D112" authorId="0" shapeId="0" xr:uid="{00000000-0006-0000-0A00-00006C000000}">
      <text>
        <r>
          <rPr>
            <b/>
            <sz val="9"/>
            <color indexed="81"/>
            <rFont val="Tahoma"/>
            <family val="2"/>
          </rPr>
          <t>copied from Pilsner</t>
        </r>
        <r>
          <rPr>
            <sz val="9"/>
            <color indexed="81"/>
            <rFont val="Tahoma"/>
            <family val="2"/>
          </rPr>
          <t xml:space="preserve">
</t>
        </r>
      </text>
    </comment>
    <comment ref="D113" authorId="0" shapeId="0" xr:uid="{00000000-0006-0000-0A00-00006D000000}">
      <text>
        <r>
          <rPr>
            <b/>
            <sz val="9"/>
            <color indexed="81"/>
            <rFont val="Tahoma"/>
            <family val="2"/>
          </rPr>
          <t>derived from Doss data</t>
        </r>
      </text>
    </comment>
    <comment ref="D114" authorId="0" shapeId="0" xr:uid="{00000000-0006-0000-0A00-00006E000000}">
      <text>
        <r>
          <rPr>
            <b/>
            <sz val="9"/>
            <color indexed="81"/>
            <rFont val="Tahoma"/>
            <family val="2"/>
          </rPr>
          <t>derived from Doss data</t>
        </r>
        <r>
          <rPr>
            <sz val="9"/>
            <color indexed="81"/>
            <rFont val="Tahoma"/>
            <family val="2"/>
          </rPr>
          <t xml:space="preserve">
</t>
        </r>
      </text>
    </comment>
    <comment ref="D115" authorId="0" shapeId="0" xr:uid="{00000000-0006-0000-0A00-00006F000000}">
      <text>
        <r>
          <rPr>
            <b/>
            <sz val="9"/>
            <color indexed="81"/>
            <rFont val="Tahoma"/>
            <family val="2"/>
          </rPr>
          <t>Copied from Wheat</t>
        </r>
        <r>
          <rPr>
            <sz val="9"/>
            <color indexed="81"/>
            <rFont val="Tahoma"/>
            <family val="2"/>
          </rPr>
          <t xml:space="preserve">
</t>
        </r>
      </text>
    </comment>
    <comment ref="D116" authorId="0" shapeId="0" xr:uid="{00000000-0006-0000-0A00-000070000000}">
      <text>
        <r>
          <rPr>
            <sz val="9"/>
            <color indexed="81"/>
            <rFont val="Tahoma"/>
            <family val="2"/>
          </rPr>
          <t xml:space="preserve">derived from Doss data
</t>
        </r>
      </text>
    </comment>
    <comment ref="D117" authorId="0" shapeId="0" xr:uid="{00000000-0006-0000-0A00-000071000000}">
      <text>
        <r>
          <rPr>
            <b/>
            <sz val="9"/>
            <color indexed="81"/>
            <rFont val="Tahoma"/>
            <family val="2"/>
          </rPr>
          <t>Copied from C-40</t>
        </r>
        <r>
          <rPr>
            <sz val="9"/>
            <color indexed="81"/>
            <rFont val="Tahoma"/>
            <family val="2"/>
          </rPr>
          <t xml:space="preserve">
</t>
        </r>
      </text>
    </comment>
    <comment ref="D118" authorId="0" shapeId="0" xr:uid="{00000000-0006-0000-0A00-000072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F118" authorId="0" shapeId="0" xr:uid="{00000000-0006-0000-0A00-000073000000}">
      <text>
        <r>
          <rPr>
            <sz val="9"/>
            <color indexed="81"/>
            <rFont val="Tahoma"/>
            <family val="2"/>
          </rPr>
          <t>Briess spec via OddNotion</t>
        </r>
      </text>
    </comment>
    <comment ref="G118" authorId="0" shapeId="0" xr:uid="{00000000-0006-0000-0A00-000074000000}">
      <text>
        <r>
          <rPr>
            <b/>
            <sz val="9"/>
            <color indexed="81"/>
            <rFont val="Tahoma"/>
            <family val="2"/>
          </rPr>
          <t xml:space="preserve">Briess Spec via OddNotion
</t>
        </r>
        <r>
          <rPr>
            <sz val="9"/>
            <color indexed="81"/>
            <rFont val="Tahoma"/>
            <family val="2"/>
          </rPr>
          <t xml:space="preserve">
</t>
        </r>
      </text>
    </comment>
    <comment ref="D119" authorId="0" shapeId="0" xr:uid="{00000000-0006-0000-0A00-000075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F119" authorId="0" shapeId="0" xr:uid="{00000000-0006-0000-0A00-000076000000}">
      <text>
        <r>
          <rPr>
            <b/>
            <sz val="9"/>
            <color indexed="81"/>
            <rFont val="Tahoma"/>
            <family val="2"/>
          </rPr>
          <t>per Weyermann Spec</t>
        </r>
        <r>
          <rPr>
            <sz val="9"/>
            <color indexed="81"/>
            <rFont val="Tahoma"/>
            <family val="2"/>
          </rPr>
          <t xml:space="preserve">
</t>
        </r>
      </text>
    </comment>
    <comment ref="G119" authorId="0" shapeId="0" xr:uid="{00000000-0006-0000-0A00-000077000000}">
      <text>
        <r>
          <rPr>
            <b/>
            <sz val="9"/>
            <color indexed="81"/>
            <rFont val="Tahoma"/>
            <family val="2"/>
          </rPr>
          <t xml:space="preserve">based on Weyermann Pilsner </t>
        </r>
        <r>
          <rPr>
            <sz val="9"/>
            <color indexed="81"/>
            <rFont val="Tahoma"/>
            <family val="2"/>
          </rPr>
          <t xml:space="preserve">
</t>
        </r>
      </text>
    </comment>
    <comment ref="D120" authorId="0" shapeId="0" xr:uid="{00000000-0006-0000-0A00-000078000000}">
      <text>
        <r>
          <rPr>
            <b/>
            <sz val="9"/>
            <color indexed="81"/>
            <rFont val="Tahoma"/>
            <family val="2"/>
          </rPr>
          <t>Copied from C120</t>
        </r>
        <r>
          <rPr>
            <sz val="9"/>
            <color indexed="81"/>
            <rFont val="Tahoma"/>
            <family val="2"/>
          </rPr>
          <t xml:space="preserve">
</t>
        </r>
      </text>
    </comment>
    <comment ref="D121" authorId="0" shapeId="0" xr:uid="{00000000-0006-0000-0A00-000079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22" authorId="0" shapeId="0" xr:uid="{00000000-0006-0000-0A00-00007A000000}">
      <text>
        <r>
          <rPr>
            <b/>
            <sz val="9"/>
            <color indexed="81"/>
            <rFont val="Tahoma"/>
            <family val="2"/>
          </rPr>
          <t>derived from Doss data, which agrees closely with  theoretical</t>
        </r>
      </text>
    </comment>
    <comment ref="D123" authorId="0" shapeId="0" xr:uid="{00000000-0006-0000-0A00-00007B000000}">
      <text>
        <r>
          <rPr>
            <b/>
            <sz val="9"/>
            <color indexed="81"/>
            <rFont val="Tahoma"/>
            <family val="2"/>
          </rPr>
          <t xml:space="preserve">derived from Doss data
</t>
        </r>
        <r>
          <rPr>
            <sz val="9"/>
            <color indexed="81"/>
            <rFont val="Tahoma"/>
            <family val="2"/>
          </rPr>
          <t xml:space="preserve">
</t>
        </r>
      </text>
    </comment>
    <comment ref="D124" authorId="0" shapeId="0" xr:uid="{00000000-0006-0000-0A00-00007C000000}">
      <text>
        <r>
          <rPr>
            <b/>
            <sz val="9"/>
            <color indexed="81"/>
            <rFont val="Tahoma"/>
            <family val="2"/>
          </rPr>
          <t>copied from Demerara</t>
        </r>
        <r>
          <rPr>
            <sz val="9"/>
            <color indexed="81"/>
            <rFont val="Tahoma"/>
            <family val="2"/>
          </rPr>
          <t xml:space="preserve">
</t>
        </r>
      </text>
    </comment>
    <comment ref="D125" authorId="0" shapeId="0" xr:uid="{00000000-0006-0000-0A00-00007D000000}">
      <text>
        <r>
          <rPr>
            <b/>
            <sz val="9"/>
            <color indexed="81"/>
            <rFont val="Tahoma"/>
            <family val="2"/>
          </rPr>
          <t>derived from Doss data</t>
        </r>
      </text>
    </comment>
    <comment ref="D126" authorId="0" shapeId="0" xr:uid="{00000000-0006-0000-0A00-00007E000000}">
      <text>
        <r>
          <rPr>
            <sz val="9"/>
            <color indexed="81"/>
            <rFont val="Tahoma"/>
            <family val="2"/>
          </rPr>
          <t>Using Color for Base/Kilned/Toasted malts, applied to an exponential function derived from Pils, Munich 10, and Chocolate malt data.  Color used as a proxy for 'processing'</t>
        </r>
      </text>
    </comment>
    <comment ref="D127" authorId="0" shapeId="0" xr:uid="{00000000-0006-0000-0A00-00007F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28" authorId="0" shapeId="0" xr:uid="{00000000-0006-0000-0A00-000080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29" authorId="0" shapeId="0" xr:uid="{00000000-0006-0000-0A00-000081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30" authorId="0" shapeId="0" xr:uid="{00000000-0006-0000-0A00-000082000000}">
      <text>
        <r>
          <rPr>
            <b/>
            <sz val="9"/>
            <color indexed="81"/>
            <rFont val="Tahoma"/>
            <family val="2"/>
          </rPr>
          <t>derived from Doss data</t>
        </r>
      </text>
    </comment>
    <comment ref="D131" authorId="0" shapeId="0" xr:uid="{00000000-0006-0000-0A00-000083000000}">
      <text>
        <r>
          <rPr>
            <b/>
            <sz val="9"/>
            <color indexed="81"/>
            <rFont val="Tahoma"/>
            <family val="2"/>
          </rPr>
          <t>Using Color for Base/Kilned/Toasted malts, applied to an exponential function derived from Pils, Munich 10, and Chocolate malt data.  Color used as a proxy for 'processing'</t>
        </r>
        <r>
          <rPr>
            <sz val="9"/>
            <color indexed="81"/>
            <rFont val="Tahoma"/>
            <family val="2"/>
          </rPr>
          <t xml:space="preserve">
</t>
        </r>
      </text>
    </comment>
    <comment ref="D132" authorId="0" shapeId="0" xr:uid="{00000000-0006-0000-0A00-000084000000}">
      <text>
        <r>
          <rPr>
            <b/>
            <sz val="9"/>
            <color indexed="81"/>
            <rFont val="Tahoma"/>
            <family val="2"/>
          </rPr>
          <t>Copied from Wheat</t>
        </r>
        <r>
          <rPr>
            <sz val="9"/>
            <color indexed="81"/>
            <rFont val="Tahoma"/>
            <family val="2"/>
          </rPr>
          <t xml:space="preserve">
</t>
        </r>
      </text>
    </comment>
    <comment ref="D133" authorId="0" shapeId="0" xr:uid="{00000000-0006-0000-0A00-000085000000}">
      <text>
        <r>
          <rPr>
            <b/>
            <sz val="9"/>
            <color indexed="81"/>
            <rFont val="Tahoma"/>
            <family val="2"/>
          </rPr>
          <t>derived from Doss data</t>
        </r>
        <r>
          <rPr>
            <sz val="9"/>
            <color indexed="81"/>
            <rFont val="Tahoma"/>
            <family val="2"/>
          </rPr>
          <t xml:space="preserve">
</t>
        </r>
      </text>
    </comment>
    <comment ref="D134" authorId="0" shapeId="0" xr:uid="{00000000-0006-0000-0A00-000086000000}">
      <text>
        <r>
          <rPr>
            <b/>
            <sz val="9"/>
            <color indexed="81"/>
            <rFont val="Tahoma"/>
            <family val="2"/>
          </rPr>
          <t>derived from Doss data</t>
        </r>
        <r>
          <rPr>
            <sz val="9"/>
            <color indexed="81"/>
            <rFont val="Tahoma"/>
            <family val="2"/>
          </rPr>
          <t xml:space="preserve">
</t>
        </r>
      </text>
    </comment>
    <comment ref="D135" authorId="0" shapeId="0" xr:uid="{00000000-0006-0000-0A00-000087000000}">
      <text>
        <r>
          <rPr>
            <b/>
            <sz val="9"/>
            <color indexed="81"/>
            <rFont val="Tahoma"/>
            <family val="2"/>
          </rPr>
          <t>derived from Doss data</t>
        </r>
        <r>
          <rPr>
            <sz val="9"/>
            <color indexed="81"/>
            <rFont val="Tahoma"/>
            <family val="2"/>
          </rPr>
          <t xml:space="preserve">
</t>
        </r>
      </text>
    </comment>
    <comment ref="D136" authorId="0" shapeId="0" xr:uid="{00000000-0006-0000-0A00-000088000000}">
      <text>
        <r>
          <rPr>
            <b/>
            <sz val="9"/>
            <color indexed="81"/>
            <rFont val="Tahoma"/>
            <family val="2"/>
          </rPr>
          <t>derived from Doss data</t>
        </r>
        <r>
          <rPr>
            <sz val="9"/>
            <color indexed="81"/>
            <rFont val="Tahoma"/>
            <family val="2"/>
          </rPr>
          <t xml:space="preserve">
</t>
        </r>
      </text>
    </comment>
    <comment ref="D137" authorId="0" shapeId="0" xr:uid="{00000000-0006-0000-0A00-000089000000}">
      <text>
        <r>
          <rPr>
            <b/>
            <sz val="9"/>
            <color indexed="81"/>
            <rFont val="Tahoma"/>
            <family val="2"/>
          </rPr>
          <t>derived from Doss data</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noel.spencer</author>
    <author>Mick</author>
    <author>Dad</author>
  </authors>
  <commentList>
    <comment ref="B1" authorId="0" shapeId="0" xr:uid="{00000000-0006-0000-0C00-000001000000}">
      <text>
        <r>
          <rPr>
            <b/>
            <sz val="9"/>
            <color indexed="81"/>
            <rFont val="Tahoma"/>
            <family val="2"/>
          </rPr>
          <t xml:space="preserve">These are the approximate Factors, most derived from Greg Doss' work. They will not </t>
        </r>
        <r>
          <rPr>
            <b/>
            <i/>
            <sz val="9"/>
            <color indexed="81"/>
            <rFont val="Tahoma"/>
            <family val="2"/>
          </rPr>
          <t>necessarily</t>
        </r>
        <r>
          <rPr>
            <b/>
            <sz val="9"/>
            <color indexed="81"/>
            <rFont val="Tahoma"/>
            <family val="2"/>
          </rPr>
          <t xml:space="preserve"> match anything in the strain's published range.  If you add a yeast strain, find another strain with very similar attenuation, and use its number in the table.</t>
        </r>
        <r>
          <rPr>
            <sz val="9"/>
            <color indexed="81"/>
            <rFont val="Tahoma"/>
            <family val="2"/>
          </rPr>
          <t xml:space="preserve">
</t>
        </r>
      </text>
    </comment>
    <comment ref="B51" authorId="1" shapeId="0" xr:uid="{00000000-0006-0000-0C00-000002000000}">
      <text>
        <r>
          <rPr>
            <b/>
            <sz val="9"/>
            <color indexed="81"/>
            <rFont val="Tahoma"/>
            <family val="2"/>
          </rPr>
          <t>jbakajust1</t>
        </r>
        <r>
          <rPr>
            <sz val="9"/>
            <color indexed="81"/>
            <rFont val="Tahoma"/>
            <family val="2"/>
          </rPr>
          <t xml:space="preserve">
</t>
        </r>
      </text>
    </comment>
    <comment ref="B58" authorId="1" shapeId="0" xr:uid="{00000000-0006-0000-0C00-000003000000}">
      <text>
        <r>
          <rPr>
            <sz val="9"/>
            <color indexed="81"/>
            <rFont val="Tahoma"/>
            <family val="2"/>
          </rPr>
          <t>Copied from WLP001, which has similar manufacturer published specs</t>
        </r>
      </text>
    </comment>
    <comment ref="B60" authorId="1" shapeId="0" xr:uid="{00000000-0006-0000-0C00-000004000000}">
      <text>
        <r>
          <rPr>
            <b/>
            <sz val="9"/>
            <color indexed="81"/>
            <rFont val="Tahoma"/>
            <family val="2"/>
          </rPr>
          <t>Copied from WLP051, which has similar manufacturer published specs</t>
        </r>
        <r>
          <rPr>
            <sz val="9"/>
            <color indexed="81"/>
            <rFont val="Tahoma"/>
            <family val="2"/>
          </rPr>
          <t xml:space="preserve">
</t>
        </r>
      </text>
    </comment>
    <comment ref="B61" authorId="1" shapeId="0" xr:uid="{00000000-0006-0000-0C00-000005000000}">
      <text>
        <r>
          <rPr>
            <b/>
            <sz val="9"/>
            <color indexed="81"/>
            <rFont val="Tahoma"/>
            <family val="2"/>
          </rPr>
          <t>Copied from WLP051, which has similar manufacturer published specs</t>
        </r>
        <r>
          <rPr>
            <sz val="9"/>
            <color indexed="81"/>
            <rFont val="Tahoma"/>
            <family val="2"/>
          </rPr>
          <t xml:space="preserve">
</t>
        </r>
      </text>
    </comment>
    <comment ref="B65" authorId="1" shapeId="0" xr:uid="{00000000-0006-0000-0C00-000006000000}">
      <text>
        <r>
          <rPr>
            <b/>
            <sz val="9"/>
            <color indexed="81"/>
            <rFont val="Tahoma"/>
            <family val="2"/>
          </rPr>
          <t>Copied from WLP051, which has similar manufacturer published specs</t>
        </r>
        <r>
          <rPr>
            <sz val="9"/>
            <color indexed="81"/>
            <rFont val="Tahoma"/>
            <family val="2"/>
          </rPr>
          <t xml:space="preserve">
</t>
        </r>
      </text>
    </comment>
    <comment ref="B68" authorId="1" shapeId="0" xr:uid="{00000000-0006-0000-0C00-000007000000}">
      <text>
        <r>
          <rPr>
            <sz val="9"/>
            <color indexed="81"/>
            <rFont val="Tahoma"/>
            <family val="2"/>
          </rPr>
          <t>Copied from WLP001, which has similar manufacturer published specs</t>
        </r>
      </text>
    </comment>
    <comment ref="B71" authorId="1" shapeId="0" xr:uid="{00000000-0006-0000-0C00-000008000000}">
      <text>
        <r>
          <rPr>
            <b/>
            <sz val="9"/>
            <color indexed="81"/>
            <rFont val="Tahoma"/>
            <family val="2"/>
          </rPr>
          <t>Copied from WLP051, which has similar manufacturer published specs</t>
        </r>
        <r>
          <rPr>
            <sz val="9"/>
            <color indexed="81"/>
            <rFont val="Tahoma"/>
            <family val="2"/>
          </rPr>
          <t xml:space="preserve">
</t>
        </r>
      </text>
    </comment>
    <comment ref="B82" authorId="2" shapeId="0" xr:uid="{00000000-0006-0000-0C00-000009000000}">
      <text>
        <r>
          <rPr>
            <sz val="9"/>
            <color indexed="81"/>
            <rFont val="Tahoma"/>
            <family val="2"/>
          </rPr>
          <t>12-3-2015:
WLP575 is purported to be a blend of WLP500, WLP530, and WLP550.  Based on ONE batch, attenuation performed closest to WLP500, which is the weakest attenuator of the three.
Hypothesis: WLP500, although a relatively slow flocculator, may be a faster (though lower attenuating) fermenting strain than the others. It may have reached its typical attenuation limit and began flocculating, influencing the other strain's cells to also flocculate, before they had reached their typical attenuation limits.  It's important to note that n=1.</t>
        </r>
      </text>
    </comment>
    <comment ref="B83" authorId="1" shapeId="0" xr:uid="{00000000-0006-0000-0C00-00000A000000}">
      <text>
        <r>
          <rPr>
            <b/>
            <sz val="9"/>
            <color indexed="81"/>
            <rFont val="Tahoma"/>
            <family val="2"/>
          </rPr>
          <t>jbakajust1</t>
        </r>
        <r>
          <rPr>
            <sz val="9"/>
            <color indexed="81"/>
            <rFont val="Tahoma"/>
            <family val="2"/>
          </rPr>
          <t xml:space="preserve">
</t>
        </r>
      </text>
    </comment>
    <comment ref="B91" authorId="1" shapeId="0" xr:uid="{00000000-0006-0000-0C00-00000B000000}">
      <text>
        <r>
          <rPr>
            <b/>
            <sz val="9"/>
            <color indexed="81"/>
            <rFont val="Tahoma"/>
            <family val="2"/>
          </rPr>
          <t>Copied from Wyeast 3711.  Got data?  BeerMail VikeMan on BA.</t>
        </r>
        <r>
          <rPr>
            <sz val="9"/>
            <color indexed="81"/>
            <rFont val="Tahoma"/>
            <family val="2"/>
          </rPr>
          <t xml:space="preserve">
</t>
        </r>
      </text>
    </comment>
    <comment ref="B92" authorId="1" shapeId="0" xr:uid="{00000000-0006-0000-0C00-00000C000000}">
      <text>
        <r>
          <rPr>
            <b/>
            <sz val="9"/>
            <color indexed="81"/>
            <rFont val="Tahoma"/>
            <family val="2"/>
          </rPr>
          <t>jbakajust1</t>
        </r>
        <r>
          <rPr>
            <sz val="9"/>
            <color indexed="81"/>
            <rFont val="Tahoma"/>
            <family val="2"/>
          </rPr>
          <t xml:space="preserve">
</t>
        </r>
      </text>
    </comment>
    <comment ref="B93" authorId="1" shapeId="0" xr:uid="{00000000-0006-0000-0C00-00000D000000}">
      <text>
        <r>
          <rPr>
            <b/>
            <sz val="9"/>
            <color indexed="81"/>
            <rFont val="Tahoma"/>
            <family val="2"/>
          </rPr>
          <t>jbakajust1</t>
        </r>
        <r>
          <rPr>
            <sz val="9"/>
            <color indexed="81"/>
            <rFont val="Tahoma"/>
            <family val="2"/>
          </rPr>
          <t xml:space="preserve">
</t>
        </r>
      </text>
    </comment>
    <comment ref="B94" authorId="1" shapeId="0" xr:uid="{00000000-0006-0000-0C00-00000E000000}">
      <text>
        <r>
          <rPr>
            <b/>
            <sz val="9"/>
            <color indexed="81"/>
            <rFont val="Tahoma"/>
            <family val="2"/>
          </rPr>
          <t>jbakajust1</t>
        </r>
        <r>
          <rPr>
            <sz val="9"/>
            <color indexed="81"/>
            <rFont val="Tahoma"/>
            <family val="2"/>
          </rPr>
          <t xml:space="preserve">
</t>
        </r>
      </text>
    </comment>
    <comment ref="B95" authorId="1" shapeId="0" xr:uid="{00000000-0006-0000-0C00-00000F000000}">
      <text>
        <r>
          <rPr>
            <b/>
            <sz val="9"/>
            <color indexed="81"/>
            <rFont val="Tahoma"/>
            <family val="2"/>
          </rPr>
          <t>jbakajust1</t>
        </r>
        <r>
          <rPr>
            <sz val="9"/>
            <color indexed="81"/>
            <rFont val="Tahoma"/>
            <family val="2"/>
          </rPr>
          <t xml:space="preserve">
</t>
        </r>
      </text>
    </comment>
    <comment ref="B96" authorId="1" shapeId="0" xr:uid="{00000000-0006-0000-0C00-000010000000}">
      <text>
        <r>
          <rPr>
            <b/>
            <sz val="9"/>
            <color indexed="81"/>
            <rFont val="Tahoma"/>
            <family val="2"/>
          </rPr>
          <t>Copied from WLP009 as possible equivalent</t>
        </r>
        <r>
          <rPr>
            <sz val="9"/>
            <color indexed="81"/>
            <rFont val="Tahoma"/>
            <family val="2"/>
          </rPr>
          <t xml:space="preserve">
</t>
        </r>
      </text>
    </comment>
    <comment ref="B97" authorId="1" shapeId="0" xr:uid="{00000000-0006-0000-0C00-000011000000}">
      <text>
        <r>
          <rPr>
            <b/>
            <sz val="9"/>
            <color indexed="81"/>
            <rFont val="Tahoma"/>
            <family val="2"/>
          </rPr>
          <t xml:space="preserve">Copied from Wyeast 3068 as possible equivalent.
</t>
        </r>
        <r>
          <rPr>
            <sz val="9"/>
            <color indexed="81"/>
            <rFont val="Tahoma"/>
            <family val="2"/>
          </rPr>
          <t xml:space="preserve">
</t>
        </r>
      </text>
    </comment>
    <comment ref="B98" authorId="1" shapeId="0" xr:uid="{00000000-0006-0000-0C00-000012000000}">
      <text>
        <r>
          <rPr>
            <b/>
            <sz val="9"/>
            <color indexed="81"/>
            <rFont val="Tahoma"/>
            <family val="2"/>
          </rPr>
          <t>Copied from WLP039 as possible equivalent</t>
        </r>
        <r>
          <rPr>
            <sz val="9"/>
            <color indexed="81"/>
            <rFont val="Tahoma"/>
            <family val="2"/>
          </rPr>
          <t xml:space="preserve">
</t>
        </r>
      </text>
    </comment>
    <comment ref="B99" authorId="1" shapeId="0" xr:uid="{00000000-0006-0000-0C00-000013000000}">
      <text>
        <r>
          <rPr>
            <sz val="9"/>
            <color indexed="81"/>
            <rFont val="Tahoma"/>
            <family val="2"/>
          </rPr>
          <t>Copied from Wyeast 1968 as possible equivalent</t>
        </r>
      </text>
    </comment>
    <comment ref="B100" authorId="1" shapeId="0" xr:uid="{00000000-0006-0000-0C00-000014000000}">
      <text>
        <r>
          <rPr>
            <sz val="9"/>
            <color indexed="81"/>
            <rFont val="Tahoma"/>
            <family val="2"/>
          </rPr>
          <t>Copied from Wyeast 1968 as possible equivalent</t>
        </r>
      </text>
    </comment>
    <comment ref="B101" authorId="1" shapeId="0" xr:uid="{00000000-0006-0000-0C00-000015000000}">
      <text>
        <r>
          <rPr>
            <b/>
            <sz val="9"/>
            <color indexed="81"/>
            <rFont val="Tahoma"/>
            <family val="2"/>
          </rPr>
          <t>Copied from Wyeast 1056 as possible equivalent</t>
        </r>
        <r>
          <rPr>
            <sz val="9"/>
            <color indexed="81"/>
            <rFont val="Tahoma"/>
            <family val="2"/>
          </rPr>
          <t xml:space="preserve">
</t>
        </r>
      </text>
    </comment>
    <comment ref="B102" authorId="1" shapeId="0" xr:uid="{00000000-0006-0000-0C00-000016000000}">
      <text>
        <r>
          <rPr>
            <b/>
            <sz val="9"/>
            <color indexed="81"/>
            <rFont val="Tahoma"/>
            <family val="2"/>
          </rPr>
          <t>Copied from Wyeast 1098 as possible equivalent</t>
        </r>
        <r>
          <rPr>
            <sz val="9"/>
            <color indexed="81"/>
            <rFont val="Tahoma"/>
            <family val="2"/>
          </rPr>
          <t xml:space="preserve">
</t>
        </r>
      </text>
    </comment>
    <comment ref="B103" authorId="1" shapeId="0" xr:uid="{00000000-0006-0000-0C00-000017000000}">
      <text>
        <r>
          <rPr>
            <b/>
            <sz val="9"/>
            <color indexed="81"/>
            <rFont val="Tahoma"/>
            <family val="2"/>
          </rPr>
          <t>Copied from Wyeast 3724 as possible equivalent</t>
        </r>
        <r>
          <rPr>
            <sz val="9"/>
            <color indexed="81"/>
            <rFont val="Tahoma"/>
            <family val="2"/>
          </rPr>
          <t xml:space="preserve">
</t>
        </r>
      </text>
    </comment>
    <comment ref="B104" authorId="1" shapeId="0" xr:uid="{00000000-0006-0000-0C00-000018000000}">
      <text>
        <r>
          <rPr>
            <b/>
            <sz val="9"/>
            <color indexed="81"/>
            <rFont val="Tahoma"/>
            <family val="2"/>
          </rPr>
          <t>Copied from WLP006 as possible equivalent</t>
        </r>
        <r>
          <rPr>
            <sz val="9"/>
            <color indexed="81"/>
            <rFont val="Tahoma"/>
            <family val="2"/>
          </rPr>
          <t xml:space="preserve">
</t>
        </r>
      </text>
    </comment>
    <comment ref="B105" authorId="1" shapeId="0" xr:uid="{00000000-0006-0000-0C00-000019000000}">
      <text>
        <r>
          <rPr>
            <b/>
            <sz val="9"/>
            <color indexed="81"/>
            <rFont val="Tahoma"/>
            <family val="2"/>
          </rPr>
          <t>Copied from Wyeast 3333 as possible equivalent</t>
        </r>
        <r>
          <rPr>
            <sz val="9"/>
            <color indexed="81"/>
            <rFont val="Tahoma"/>
            <family val="2"/>
          </rPr>
          <t xml:space="preserve">
</t>
        </r>
      </text>
    </comment>
    <comment ref="B106" authorId="1" shapeId="0" xr:uid="{00000000-0006-0000-0C00-00001A000000}">
      <text>
        <r>
          <rPr>
            <b/>
            <sz val="9"/>
            <color indexed="81"/>
            <rFont val="Tahoma"/>
            <family val="2"/>
          </rPr>
          <t>Copied from Wyeast 2011 as possible equivalent</t>
        </r>
        <r>
          <rPr>
            <sz val="9"/>
            <color indexed="81"/>
            <rFont val="Tahoma"/>
            <family val="2"/>
          </rPr>
          <t xml:space="preserve">
</t>
        </r>
      </text>
    </comment>
    <comment ref="B107" authorId="1" shapeId="0" xr:uid="{00000000-0006-0000-0C00-00001B000000}">
      <text>
        <r>
          <rPr>
            <b/>
            <sz val="9"/>
            <color indexed="81"/>
            <rFont val="Tahoma"/>
            <family val="2"/>
          </rPr>
          <t>Copied from Wyeast 2124 as possible equivalent</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noel.spencer</author>
  </authors>
  <commentList>
    <comment ref="A19" authorId="0" shapeId="0" xr:uid="{00000000-0006-0000-0D00-000001000000}">
      <text>
        <r>
          <rPr>
            <b/>
            <sz val="9"/>
            <color indexed="81"/>
            <rFont val="Tahoma"/>
            <family val="2"/>
          </rPr>
          <t>This number is NOT adjusted for evaporation loss</t>
        </r>
      </text>
    </comment>
    <comment ref="N25" authorId="0" shapeId="0" xr:uid="{00000000-0006-0000-0D00-000002000000}">
      <text>
        <r>
          <rPr>
            <b/>
            <sz val="9"/>
            <color indexed="81"/>
            <rFont val="Tahoma"/>
            <family val="2"/>
          </rPr>
          <t xml:space="preserve">inlcudes evapaportion loss in the end of boil number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noel.spencer</author>
  </authors>
  <commentList>
    <comment ref="I30" authorId="0" shapeId="0" xr:uid="{00000000-0006-0000-0E00-000001000000}">
      <text>
        <r>
          <rPr>
            <b/>
            <sz val="9"/>
            <color indexed="81"/>
            <rFont val="Tahoma"/>
            <family val="2"/>
          </rPr>
          <t xml:space="preserve">Get from GravCalcs to ensure it's in pounds
</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Mick</author>
  </authors>
  <commentList>
    <comment ref="B4" authorId="0" shapeId="0" xr:uid="{00000000-0006-0000-0F00-000001000000}">
      <text>
        <r>
          <rPr>
            <sz val="9"/>
            <color indexed="81"/>
            <rFont val="Tahoma"/>
            <family val="2"/>
          </rPr>
          <t xml:space="preserve">BEFORE cooling evaporation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D. Mark Riffe</author>
  </authors>
  <commentList>
    <comment ref="B2" authorId="0" shapeId="0" xr:uid="{00000000-0006-0000-1300-000001000000}">
      <text>
        <r>
          <rPr>
            <sz val="9"/>
            <color indexed="81"/>
            <rFont val="Calibri"/>
            <family val="2"/>
          </rPr>
          <t>In this sections (as in all sections) enter quantities into cells that are shaded yellow.  Blue cells are labels; violet cells are calculated quantities.</t>
        </r>
      </text>
    </comment>
    <comment ref="D5" authorId="0" shapeId="0" xr:uid="{00000000-0006-0000-1300-000002000000}">
      <text>
        <r>
          <rPr>
            <sz val="9"/>
            <color indexed="81"/>
            <rFont val="Calibri"/>
            <family val="2"/>
          </rPr>
          <t xml:space="preserve">W = wheat
B = base
C = crystal
R = dark roast
</t>
        </r>
      </text>
    </comment>
    <comment ref="C29" authorId="0" shapeId="0" xr:uid="{00000000-0006-0000-1300-000003000000}">
      <text>
        <r>
          <rPr>
            <b/>
            <sz val="9"/>
            <color indexed="81"/>
            <rFont val="Calibri"/>
            <family val="2"/>
          </rPr>
          <t>Enter percentage of strike water that will be distilled or RO.  If using all distilled, enter 100.</t>
        </r>
        <r>
          <rPr>
            <sz val="9"/>
            <color indexed="81"/>
            <rFont val="Calibri"/>
            <family val="2"/>
          </rPr>
          <t xml:space="preserve">
</t>
        </r>
      </text>
    </comment>
    <comment ref="L33" authorId="0" shapeId="0" xr:uid="{00000000-0006-0000-1300-000004000000}">
      <text>
        <r>
          <rPr>
            <b/>
            <sz val="9"/>
            <color indexed="81"/>
            <rFont val="Calibri"/>
            <family val="2"/>
          </rPr>
          <t>Residual alkalinity as defined by Paul Kolbach.</t>
        </r>
        <r>
          <rPr>
            <sz val="9"/>
            <color indexed="81"/>
            <rFont val="Calibri"/>
            <family val="2"/>
          </rPr>
          <t xml:space="preserve">
</t>
        </r>
      </text>
    </comment>
    <comment ref="M33" authorId="0" shapeId="0" xr:uid="{00000000-0006-0000-1300-000005000000}">
      <text>
        <r>
          <rPr>
            <b/>
            <sz val="9"/>
            <color indexed="81"/>
            <rFont val="Calibri"/>
            <family val="2"/>
          </rPr>
          <t>Residual alkalinity based on experiments of Kai Troester.</t>
        </r>
        <r>
          <rPr>
            <sz val="9"/>
            <color indexed="81"/>
            <rFont val="Calibri"/>
            <family val="2"/>
          </rPr>
          <t xml:space="preserve">
</t>
        </r>
      </text>
    </comment>
    <comment ref="B34" authorId="0" shapeId="0" xr:uid="{00000000-0006-0000-1300-000006000000}">
      <text>
        <r>
          <rPr>
            <b/>
            <sz val="9"/>
            <color indexed="81"/>
            <rFont val="Calibri"/>
            <family val="2"/>
          </rPr>
          <t>These values you should be able to obtain, either directly or indirectly, from a complete water report available from Ward Labs, for example.</t>
        </r>
        <r>
          <rPr>
            <sz val="9"/>
            <color indexed="81"/>
            <rFont val="Calibri"/>
            <family val="2"/>
          </rPr>
          <t xml:space="preserve">
</t>
        </r>
      </text>
    </comment>
    <comment ref="L34" authorId="0" shapeId="0" xr:uid="{00000000-0006-0000-1300-000007000000}">
      <text>
        <r>
          <rPr>
            <sz val="9"/>
            <color indexed="81"/>
            <rFont val="Calibri"/>
            <family val="2"/>
          </rPr>
          <t xml:space="preserve">Residual alkalinity as ppm CaCO_3 (bicarbonate).
</t>
        </r>
      </text>
    </comment>
    <comment ref="M34" authorId="0" shapeId="0" xr:uid="{00000000-0006-0000-1300-000008000000}">
      <text>
        <r>
          <rPr>
            <sz val="9"/>
            <color indexed="81"/>
            <rFont val="Calibri"/>
            <family val="2"/>
          </rPr>
          <t xml:space="preserve">Residual alkalinity as ppm CaCO_3 (bicarbonate).
</t>
        </r>
      </text>
    </comment>
    <comment ref="K35" authorId="0" shapeId="0" xr:uid="{00000000-0006-0000-1300-000009000000}">
      <text>
        <r>
          <rPr>
            <b/>
            <sz val="9"/>
            <color indexed="81"/>
            <rFont val="Calibri"/>
            <family val="2"/>
          </rPr>
          <t>Ideally this should be &lt;0.1. Otherwise, at least one ion concentration is wrong.</t>
        </r>
      </text>
    </comment>
    <comment ref="L37" authorId="0" shapeId="0" xr:uid="{00000000-0006-0000-1300-00000A000000}">
      <text>
        <r>
          <rPr>
            <b/>
            <sz val="9"/>
            <color indexed="81"/>
            <rFont val="Calibri"/>
            <family val="2"/>
          </rPr>
          <t>Residual alkalinity as defined by Paul Kolbach.</t>
        </r>
        <r>
          <rPr>
            <sz val="9"/>
            <color indexed="81"/>
            <rFont val="Calibri"/>
            <family val="2"/>
          </rPr>
          <t xml:space="preserve">
</t>
        </r>
      </text>
    </comment>
    <comment ref="M37" authorId="0" shapeId="0" xr:uid="{00000000-0006-0000-1300-00000B000000}">
      <text>
        <r>
          <rPr>
            <b/>
            <sz val="9"/>
            <color indexed="81"/>
            <rFont val="Calibri"/>
            <family val="2"/>
          </rPr>
          <t>Residual alkalinity based on experiments of Kai Troester.</t>
        </r>
        <r>
          <rPr>
            <sz val="9"/>
            <color indexed="81"/>
            <rFont val="Calibri"/>
            <family val="2"/>
          </rPr>
          <t xml:space="preserve">
</t>
        </r>
      </text>
    </comment>
    <comment ref="L38" authorId="0" shapeId="0" xr:uid="{00000000-0006-0000-1300-00000C000000}">
      <text>
        <r>
          <rPr>
            <sz val="9"/>
            <color indexed="81"/>
            <rFont val="Calibri"/>
            <family val="2"/>
          </rPr>
          <t xml:space="preserve">Residual alkalinity as ppm CaCO_3 (bicarbonate).
</t>
        </r>
      </text>
    </comment>
    <comment ref="M38" authorId="0" shapeId="0" xr:uid="{00000000-0006-0000-1300-00000D000000}">
      <text>
        <r>
          <rPr>
            <sz val="9"/>
            <color indexed="81"/>
            <rFont val="Calibri"/>
            <family val="2"/>
          </rPr>
          <t xml:space="preserve">Residual alkalinity as ppm CaCO_3 (bicarbonate).
</t>
        </r>
      </text>
    </comment>
    <comment ref="K39" authorId="0" shapeId="0" xr:uid="{00000000-0006-0000-1300-00000E000000}">
      <text>
        <r>
          <rPr>
            <b/>
            <sz val="9"/>
            <color indexed="81"/>
            <rFont val="Calibri"/>
            <family val="2"/>
          </rPr>
          <t>Ideally this should be &lt;0.1. Otherwise, at least one ion concentration is wrong.</t>
        </r>
      </text>
    </comment>
    <comment ref="C48" authorId="0" shapeId="0" xr:uid="{00000000-0006-0000-1300-00000F000000}">
      <text>
        <r>
          <rPr>
            <b/>
            <sz val="9"/>
            <color indexed="81"/>
            <rFont val="Calibri"/>
            <family val="2"/>
          </rPr>
          <t>Calcium chloride.</t>
        </r>
        <r>
          <rPr>
            <sz val="9"/>
            <color indexed="81"/>
            <rFont val="Calibri"/>
            <family val="2"/>
          </rPr>
          <t xml:space="preserve">
</t>
        </r>
      </text>
    </comment>
    <comment ref="D48" authorId="0" shapeId="0" xr:uid="{00000000-0006-0000-1300-000010000000}">
      <text>
        <r>
          <rPr>
            <b/>
            <sz val="9"/>
            <color indexed="81"/>
            <rFont val="Calibri"/>
            <family val="2"/>
          </rPr>
          <t>Calcium sulfate (gypsum).</t>
        </r>
        <r>
          <rPr>
            <sz val="9"/>
            <color indexed="81"/>
            <rFont val="Calibri"/>
            <family val="2"/>
          </rPr>
          <t xml:space="preserve">
</t>
        </r>
      </text>
    </comment>
    <comment ref="E48" authorId="0" shapeId="0" xr:uid="{00000000-0006-0000-1300-000011000000}">
      <text>
        <r>
          <rPr>
            <b/>
            <sz val="9"/>
            <color indexed="81"/>
            <rFont val="Calibri"/>
            <family val="2"/>
          </rPr>
          <t>Magnesium chloride.</t>
        </r>
        <r>
          <rPr>
            <sz val="9"/>
            <color indexed="81"/>
            <rFont val="Calibri"/>
            <family val="2"/>
          </rPr>
          <t xml:space="preserve">
</t>
        </r>
      </text>
    </comment>
    <comment ref="F48" authorId="0" shapeId="0" xr:uid="{00000000-0006-0000-1300-000012000000}">
      <text>
        <r>
          <rPr>
            <b/>
            <sz val="9"/>
            <color indexed="81"/>
            <rFont val="Calibri"/>
            <family val="2"/>
          </rPr>
          <t>Magnesium sulfate (Epsom salt).</t>
        </r>
        <r>
          <rPr>
            <sz val="9"/>
            <color indexed="81"/>
            <rFont val="Calibri"/>
            <family val="2"/>
          </rPr>
          <t xml:space="preserve">
</t>
        </r>
      </text>
    </comment>
    <comment ref="G48" authorId="0" shapeId="0" xr:uid="{00000000-0006-0000-1300-000013000000}">
      <text>
        <r>
          <rPr>
            <b/>
            <sz val="9"/>
            <color indexed="81"/>
            <rFont val="Calibri"/>
            <family val="2"/>
          </rPr>
          <t>Sodium chloride (table salt).</t>
        </r>
        <r>
          <rPr>
            <sz val="9"/>
            <color indexed="81"/>
            <rFont val="Calibri"/>
            <family val="2"/>
          </rPr>
          <t xml:space="preserve">
</t>
        </r>
      </text>
    </comment>
    <comment ref="H48" authorId="0" shapeId="0" xr:uid="{00000000-0006-0000-1300-000014000000}">
      <text>
        <r>
          <rPr>
            <b/>
            <sz val="9"/>
            <color indexed="81"/>
            <rFont val="Calibri"/>
            <family val="2"/>
          </rPr>
          <t>Sodium bicarbonate (baking soda).</t>
        </r>
        <r>
          <rPr>
            <sz val="9"/>
            <color indexed="81"/>
            <rFont val="Calibri"/>
            <family val="2"/>
          </rPr>
          <t xml:space="preserve">
</t>
        </r>
      </text>
    </comment>
    <comment ref="I48" authorId="0" shapeId="0" xr:uid="{00000000-0006-0000-1300-000015000000}">
      <text>
        <r>
          <rPr>
            <b/>
            <sz val="9"/>
            <color indexed="81"/>
            <rFont val="Calibri"/>
            <family val="2"/>
          </rPr>
          <t>Calcium hydroxide (slaked lime).</t>
        </r>
        <r>
          <rPr>
            <sz val="9"/>
            <color indexed="81"/>
            <rFont val="Calibri"/>
            <family val="2"/>
          </rPr>
          <t xml:space="preserve">
</t>
        </r>
      </text>
    </comment>
    <comment ref="L53" authorId="0" shapeId="0" xr:uid="{00000000-0006-0000-1300-000016000000}">
      <text>
        <r>
          <rPr>
            <b/>
            <sz val="9"/>
            <color indexed="81"/>
            <rFont val="Calibri"/>
            <family val="2"/>
          </rPr>
          <t>Residual alkalinity as defined by Paul Kolbach.</t>
        </r>
        <r>
          <rPr>
            <sz val="9"/>
            <color indexed="81"/>
            <rFont val="Calibri"/>
            <family val="2"/>
          </rPr>
          <t xml:space="preserve">
</t>
        </r>
      </text>
    </comment>
    <comment ref="M53" authorId="0" shapeId="0" xr:uid="{00000000-0006-0000-1300-000017000000}">
      <text>
        <r>
          <rPr>
            <b/>
            <sz val="9"/>
            <color indexed="81"/>
            <rFont val="Calibri"/>
            <family val="2"/>
          </rPr>
          <t>Residual alkalinity based on experiments of Kai Troester.</t>
        </r>
        <r>
          <rPr>
            <sz val="9"/>
            <color indexed="81"/>
            <rFont val="Calibri"/>
            <family val="2"/>
          </rPr>
          <t xml:space="preserve">
</t>
        </r>
      </text>
    </comment>
    <comment ref="C54" authorId="0" shapeId="0" xr:uid="{00000000-0006-0000-1300-000018000000}">
      <text>
        <r>
          <rPr>
            <b/>
            <sz val="9"/>
            <color indexed="81"/>
            <rFont val="Calibri"/>
            <family val="2"/>
          </rPr>
          <t>Recommended range is 50 - 150 ppm.  Promotes clarity, flavor, and stability in finished beer.  (Palmer, How to Brew)</t>
        </r>
        <r>
          <rPr>
            <sz val="9"/>
            <color indexed="81"/>
            <rFont val="Calibri"/>
            <family val="2"/>
          </rPr>
          <t xml:space="preserve">
</t>
        </r>
      </text>
    </comment>
    <comment ref="D54" authorId="0" shapeId="0" xr:uid="{00000000-0006-0000-1300-000019000000}">
      <text>
        <r>
          <rPr>
            <b/>
            <sz val="9"/>
            <color indexed="81"/>
            <rFont val="Calibri"/>
            <family val="2"/>
          </rPr>
          <t>Recommended range is 10-30 ppm.  Sufficient amounts are found in a typical grist.  (Palmer, How to Brew)</t>
        </r>
      </text>
    </comment>
    <comment ref="E54" authorId="0" shapeId="0" xr:uid="{00000000-0006-0000-1300-00001A000000}">
      <text>
        <r>
          <rPr>
            <b/>
            <sz val="9"/>
            <color indexed="81"/>
            <rFont val="Calibri"/>
            <family val="2"/>
          </rPr>
          <t>Recommended range is 0 - 150 ppm. Avoid large concentrations of Na and SO_4 together. (Palmer, How to Brew)</t>
        </r>
      </text>
    </comment>
    <comment ref="G54" authorId="0" shapeId="0" xr:uid="{00000000-0006-0000-1300-00001B000000}">
      <text>
        <r>
          <rPr>
            <b/>
            <sz val="9"/>
            <color indexed="81"/>
            <rFont val="Calibri"/>
            <family val="2"/>
          </rPr>
          <t>Recommended range is 0 - 250 ppm.  Accentuates flavor and fullness of beer (Palmer, How to Brew).</t>
        </r>
        <r>
          <rPr>
            <sz val="9"/>
            <color indexed="81"/>
            <rFont val="Calibri"/>
            <family val="2"/>
          </rPr>
          <t xml:space="preserve">
</t>
        </r>
      </text>
    </comment>
    <comment ref="H54" authorId="0" shapeId="0" xr:uid="{00000000-0006-0000-1300-00001C000000}">
      <text>
        <r>
          <rPr>
            <b/>
            <sz val="9"/>
            <color indexed="81"/>
            <rFont val="Calibri"/>
            <family val="2"/>
          </rPr>
          <t xml:space="preserve"> Recommended range is 50 -150 ppm for normally bitter beers, 150-350 for very bitter beers.  Accentuates hop bitterness. (Palmer, How to Brew). </t>
        </r>
        <r>
          <rPr>
            <sz val="9"/>
            <color indexed="81"/>
            <rFont val="Calibri"/>
            <family val="2"/>
          </rPr>
          <t xml:space="preserve">
</t>
        </r>
      </text>
    </comment>
    <comment ref="I54" authorId="0" shapeId="0" xr:uid="{00000000-0006-0000-1300-00001D000000}">
      <text>
        <r>
          <rPr>
            <b/>
            <sz val="9"/>
            <color indexed="81"/>
            <rFont val="Calibri"/>
            <family val="2"/>
          </rPr>
          <t>This value includes an effective contribution from Ca(OH)_2 addition.</t>
        </r>
        <r>
          <rPr>
            <sz val="9"/>
            <color indexed="81"/>
            <rFont val="Calibri"/>
            <family val="2"/>
          </rPr>
          <t xml:space="preserve">
</t>
        </r>
      </text>
    </comment>
    <comment ref="L54" authorId="0" shapeId="0" xr:uid="{00000000-0006-0000-1300-00001E000000}">
      <text>
        <r>
          <rPr>
            <sz val="9"/>
            <color indexed="81"/>
            <rFont val="Calibri"/>
            <family val="2"/>
          </rPr>
          <t xml:space="preserve">Residual alkalinity as ppm CaCO_3 (bicarbonate).
</t>
        </r>
      </text>
    </comment>
    <comment ref="M54" authorId="0" shapeId="0" xr:uid="{00000000-0006-0000-1300-00001F000000}">
      <text>
        <r>
          <rPr>
            <sz val="9"/>
            <color indexed="81"/>
            <rFont val="Calibri"/>
            <family val="2"/>
          </rPr>
          <t xml:space="preserve">Residual alkalinity as ppm CaCO_3 (bicarbonate).
</t>
        </r>
      </text>
    </comment>
    <comment ref="K55" authorId="0" shapeId="0" xr:uid="{00000000-0006-0000-1300-000020000000}">
      <text>
        <r>
          <rPr>
            <b/>
            <sz val="9"/>
            <color indexed="81"/>
            <rFont val="Calibri"/>
            <family val="2"/>
          </rPr>
          <t>Ideally this should be &lt;0.1. Otherwise, at least one ion concentration is wrong.</t>
        </r>
      </text>
    </comment>
    <comment ref="C67" authorId="0" shapeId="0" xr:uid="{00000000-0006-0000-1300-000021000000}">
      <text>
        <r>
          <rPr>
            <b/>
            <sz val="9"/>
            <color indexed="81"/>
            <rFont val="Calibri"/>
            <family val="2"/>
          </rPr>
          <t>Amount added in mL.</t>
        </r>
        <r>
          <rPr>
            <sz val="9"/>
            <color indexed="81"/>
            <rFont val="Calibri"/>
            <family val="2"/>
          </rPr>
          <t xml:space="preserve">
</t>
        </r>
      </text>
    </comment>
    <comment ref="D67" authorId="0" shapeId="0" xr:uid="{00000000-0006-0000-1300-000022000000}">
      <text>
        <r>
          <rPr>
            <b/>
            <sz val="9"/>
            <color indexed="81"/>
            <rFont val="Calibri"/>
            <family val="2"/>
          </rPr>
          <t>Amount added in mL.</t>
        </r>
      </text>
    </comment>
    <comment ref="E67" authorId="0" shapeId="0" xr:uid="{00000000-0006-0000-1300-000023000000}">
      <text>
        <r>
          <rPr>
            <b/>
            <sz val="9"/>
            <color indexed="81"/>
            <rFont val="Calibri"/>
            <family val="2"/>
          </rPr>
          <t>Amount added in oz. (weight).  Acid malt is treated as any other acid addition in that it is assumed to change the RA of the strike water.</t>
        </r>
        <r>
          <rPr>
            <sz val="9"/>
            <color indexed="81"/>
            <rFont val="Calibri"/>
            <family val="2"/>
          </rPr>
          <t xml:space="preserve">
</t>
        </r>
      </text>
    </comment>
    <comment ref="F67" authorId="0" shapeId="0" xr:uid="{00000000-0006-0000-1300-000024000000}">
      <text>
        <r>
          <rPr>
            <b/>
            <sz val="9"/>
            <color indexed="81"/>
            <rFont val="Calibri"/>
            <family val="2"/>
          </rPr>
          <t>Residual alkalinity as defined by Paul Kolbach.</t>
        </r>
        <r>
          <rPr>
            <sz val="9"/>
            <color indexed="81"/>
            <rFont val="Calibri"/>
            <family val="2"/>
          </rPr>
          <t xml:space="preserve">
</t>
        </r>
      </text>
    </comment>
    <comment ref="G67" authorId="0" shapeId="0" xr:uid="{00000000-0006-0000-1300-000025000000}">
      <text>
        <r>
          <rPr>
            <b/>
            <sz val="9"/>
            <color indexed="81"/>
            <rFont val="Calibri"/>
            <family val="2"/>
          </rPr>
          <t>Residual alkalinity based on experiments of Kai Troester.</t>
        </r>
        <r>
          <rPr>
            <sz val="9"/>
            <color indexed="81"/>
            <rFont val="Calibri"/>
            <family val="2"/>
          </rPr>
          <t xml:space="preserv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D. Mark Riffe</author>
  </authors>
  <commentList>
    <comment ref="C5" authorId="0" shapeId="0" xr:uid="{00000000-0006-0000-1400-000001000000}">
      <text>
        <r>
          <rPr>
            <b/>
            <sz val="9"/>
            <color indexed="81"/>
            <rFont val="Calibri"/>
            <family val="2"/>
          </rPr>
          <t>Enter percentage of sparge water that will be distilled or RO.  If using all distilled, enter 100.</t>
        </r>
        <r>
          <rPr>
            <sz val="9"/>
            <color indexed="81"/>
            <rFont val="Calibri"/>
            <family val="2"/>
          </rPr>
          <t xml:space="preserve">
</t>
        </r>
      </text>
    </comment>
    <comment ref="B10" authorId="0" shapeId="0" xr:uid="{00000000-0006-0000-1400-000002000000}">
      <text>
        <r>
          <rPr>
            <b/>
            <sz val="9"/>
            <color indexed="81"/>
            <rFont val="Calibri"/>
            <family val="2"/>
          </rPr>
          <t>These values are automatically filled in from Mash pH Sheet.</t>
        </r>
        <r>
          <rPr>
            <sz val="9"/>
            <color indexed="81"/>
            <rFont val="Calibri"/>
            <family val="2"/>
          </rPr>
          <t xml:space="preserve">
</t>
        </r>
      </text>
    </comment>
    <comment ref="K11" authorId="0" shapeId="0" xr:uid="{00000000-0006-0000-1400-000003000000}">
      <text>
        <r>
          <rPr>
            <b/>
            <sz val="9"/>
            <color indexed="81"/>
            <rFont val="Calibri"/>
            <family val="2"/>
          </rPr>
          <t>Ideally this should be &lt;0.1. Otherwise, at least one ion concentration is wrong.</t>
        </r>
      </text>
    </comment>
    <comment ref="K15" authorId="0" shapeId="0" xr:uid="{00000000-0006-0000-1400-000004000000}">
      <text>
        <r>
          <rPr>
            <b/>
            <sz val="9"/>
            <color indexed="81"/>
            <rFont val="Calibri"/>
            <family val="2"/>
          </rPr>
          <t>Ideally this should be &lt;0.1. Otherwise, at least one ion concentration is wrong.</t>
        </r>
      </text>
    </comment>
    <comment ref="C20" authorId="0" shapeId="0" xr:uid="{00000000-0006-0000-1400-000005000000}">
      <text>
        <r>
          <rPr>
            <b/>
            <sz val="9"/>
            <color indexed="81"/>
            <rFont val="Calibri"/>
            <family val="2"/>
          </rPr>
          <t>Calcium chloride.</t>
        </r>
        <r>
          <rPr>
            <sz val="9"/>
            <color indexed="81"/>
            <rFont val="Calibri"/>
            <family val="2"/>
          </rPr>
          <t xml:space="preserve">
</t>
        </r>
      </text>
    </comment>
    <comment ref="D20" authorId="0" shapeId="0" xr:uid="{00000000-0006-0000-1400-000006000000}">
      <text>
        <r>
          <rPr>
            <b/>
            <sz val="9"/>
            <color indexed="81"/>
            <rFont val="Calibri"/>
            <family val="2"/>
          </rPr>
          <t>Calcium sulfate (gypsum).</t>
        </r>
        <r>
          <rPr>
            <sz val="9"/>
            <color indexed="81"/>
            <rFont val="Calibri"/>
            <family val="2"/>
          </rPr>
          <t xml:space="preserve">
</t>
        </r>
      </text>
    </comment>
    <comment ref="E20" authorId="0" shapeId="0" xr:uid="{00000000-0006-0000-1400-000007000000}">
      <text>
        <r>
          <rPr>
            <b/>
            <sz val="9"/>
            <color indexed="81"/>
            <rFont val="Calibri"/>
            <family val="2"/>
          </rPr>
          <t>Magnesium chloride.</t>
        </r>
        <r>
          <rPr>
            <sz val="9"/>
            <color indexed="81"/>
            <rFont val="Calibri"/>
            <family val="2"/>
          </rPr>
          <t xml:space="preserve">
</t>
        </r>
      </text>
    </comment>
    <comment ref="F20" authorId="0" shapeId="0" xr:uid="{00000000-0006-0000-1400-000008000000}">
      <text>
        <r>
          <rPr>
            <b/>
            <sz val="9"/>
            <color indexed="81"/>
            <rFont val="Calibri"/>
            <family val="2"/>
          </rPr>
          <t>Magnesium sulfate (Epsom salt).</t>
        </r>
        <r>
          <rPr>
            <sz val="9"/>
            <color indexed="81"/>
            <rFont val="Calibri"/>
            <family val="2"/>
          </rPr>
          <t xml:space="preserve">
</t>
        </r>
      </text>
    </comment>
    <comment ref="G20" authorId="0" shapeId="0" xr:uid="{00000000-0006-0000-1400-000009000000}">
      <text>
        <r>
          <rPr>
            <b/>
            <sz val="9"/>
            <color indexed="81"/>
            <rFont val="Calibri"/>
            <family val="2"/>
          </rPr>
          <t>Sodium chloride (table salt).</t>
        </r>
        <r>
          <rPr>
            <sz val="9"/>
            <color indexed="81"/>
            <rFont val="Calibri"/>
            <family val="2"/>
          </rPr>
          <t xml:space="preserve">
</t>
        </r>
      </text>
    </comment>
    <comment ref="H20" authorId="0" shapeId="0" xr:uid="{00000000-0006-0000-1400-00000A000000}">
      <text>
        <r>
          <rPr>
            <b/>
            <sz val="9"/>
            <color indexed="81"/>
            <rFont val="Calibri"/>
            <family val="2"/>
          </rPr>
          <t>Sodium bicarbonate (baking soda).</t>
        </r>
        <r>
          <rPr>
            <sz val="9"/>
            <color indexed="81"/>
            <rFont val="Calibri"/>
            <family val="2"/>
          </rPr>
          <t xml:space="preserve">
</t>
        </r>
      </text>
    </comment>
    <comment ref="I20" authorId="0" shapeId="0" xr:uid="{00000000-0006-0000-1400-00000B000000}">
      <text>
        <r>
          <rPr>
            <b/>
            <sz val="9"/>
            <color indexed="81"/>
            <rFont val="Calibri"/>
            <family val="2"/>
          </rPr>
          <t>Calcium hydroxide (slaked lime).</t>
        </r>
        <r>
          <rPr>
            <sz val="9"/>
            <color indexed="81"/>
            <rFont val="Calibri"/>
            <family val="2"/>
          </rPr>
          <t xml:space="preserve">
</t>
        </r>
      </text>
    </comment>
    <comment ref="K27" authorId="0" shapeId="0" xr:uid="{00000000-0006-0000-1400-00000C000000}">
      <text>
        <r>
          <rPr>
            <b/>
            <sz val="9"/>
            <color indexed="81"/>
            <rFont val="Calibri"/>
            <family val="2"/>
          </rPr>
          <t>Ideally this should be &lt;0.1. Otherwise, at least one ion concentration is wrong.</t>
        </r>
      </text>
    </comment>
    <comment ref="C34" authorId="0" shapeId="0" xr:uid="{00000000-0006-0000-1400-00000D000000}">
      <text>
        <r>
          <rPr>
            <b/>
            <sz val="9"/>
            <color indexed="81"/>
            <rFont val="Calibri"/>
            <family val="2"/>
          </rPr>
          <t>Recommended range is 50 - 150 ppm.  Promotes clarity, flavor, and stability in finished beer.  (Palmer, How to Brew)</t>
        </r>
        <r>
          <rPr>
            <sz val="9"/>
            <color indexed="81"/>
            <rFont val="Calibri"/>
            <family val="2"/>
          </rPr>
          <t xml:space="preserve">
</t>
        </r>
      </text>
    </comment>
    <comment ref="D34" authorId="0" shapeId="0" xr:uid="{00000000-0006-0000-1400-00000E000000}">
      <text>
        <r>
          <rPr>
            <b/>
            <sz val="9"/>
            <color indexed="81"/>
            <rFont val="Calibri"/>
            <family val="2"/>
          </rPr>
          <t>Recommended range is 10-30 ppm.  Sufficient amounts are found in a typical grist.  (Palmer, How to Brew)</t>
        </r>
      </text>
    </comment>
    <comment ref="E34" authorId="0" shapeId="0" xr:uid="{00000000-0006-0000-1400-00000F000000}">
      <text>
        <r>
          <rPr>
            <b/>
            <sz val="9"/>
            <color indexed="81"/>
            <rFont val="Calibri"/>
            <family val="2"/>
          </rPr>
          <t>Recommended range is 0 - 150 ppm. Avoid large concentrations of Na and SO_4 together. (Palmer, How to Brew)</t>
        </r>
        <r>
          <rPr>
            <sz val="9"/>
            <color indexed="81"/>
            <rFont val="Calibri"/>
            <family val="2"/>
          </rPr>
          <t xml:space="preserve">
</t>
        </r>
      </text>
    </comment>
    <comment ref="F34" authorId="0" shapeId="0" xr:uid="{00000000-0006-0000-1400-000010000000}">
      <text>
        <r>
          <rPr>
            <b/>
            <sz val="9"/>
            <color indexed="81"/>
            <rFont val="Calibri"/>
            <family val="2"/>
          </rPr>
          <t>Recommended range is 0 - 250 ppm.  Accentuates flavor and fullness of beer (Palmer, How to Brew).</t>
        </r>
        <r>
          <rPr>
            <sz val="9"/>
            <color indexed="81"/>
            <rFont val="Calibri"/>
            <family val="2"/>
          </rPr>
          <t xml:space="preserve">
</t>
        </r>
      </text>
    </comment>
    <comment ref="G34" authorId="0" shapeId="0" xr:uid="{00000000-0006-0000-1400-000011000000}">
      <text>
        <r>
          <rPr>
            <b/>
            <sz val="9"/>
            <color indexed="81"/>
            <rFont val="Calibri"/>
            <family val="2"/>
          </rPr>
          <t>Recommended range is 50 -150 ppm for normally bitter beers, 150-350 for very bitter beers.  Accentuates hop bitterness. (Palmer, How to Brew).</t>
        </r>
        <r>
          <rPr>
            <sz val="9"/>
            <color indexed="81"/>
            <rFont val="Calibri"/>
            <family val="2"/>
          </rPr>
          <t xml:space="preserve"> 
</t>
        </r>
      </text>
    </comment>
    <comment ref="H34" authorId="0" shapeId="0" xr:uid="{00000000-0006-0000-1400-000012000000}">
      <text>
        <r>
          <rPr>
            <b/>
            <sz val="9"/>
            <color indexed="81"/>
            <rFont val="Calibri"/>
            <family val="2"/>
          </rPr>
          <t>This value includes an effective contribution from Ca(OH)_2 addition.</t>
        </r>
        <r>
          <rPr>
            <sz val="9"/>
            <color indexed="81"/>
            <rFont val="Calibri"/>
            <family val="2"/>
          </rPr>
          <t xml:space="preserv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D. Mark Riffe</author>
  </authors>
  <commentList>
    <comment ref="E2" authorId="0" shapeId="0" xr:uid="{00000000-0006-0000-1900-000001000000}">
      <text>
        <r>
          <rPr>
            <b/>
            <sz val="9"/>
            <color indexed="81"/>
            <rFont val="Calibri"/>
            <family val="2"/>
          </rPr>
          <t>Only carbonate constants are used.  Acid constants are for informational purposes only.</t>
        </r>
        <r>
          <rPr>
            <sz val="9"/>
            <color indexed="81"/>
            <rFont val="Calibri"/>
            <family val="2"/>
          </rPr>
          <t xml:space="preserve">
</t>
        </r>
      </text>
    </comment>
    <comment ref="C7" authorId="0" shapeId="0" xr:uid="{00000000-0006-0000-1900-000002000000}">
      <text>
        <r>
          <rPr>
            <b/>
            <sz val="9"/>
            <color indexed="81"/>
            <rFont val="Calibri"/>
            <family val="2"/>
          </rPr>
          <t>Enter the pH of your water.  If this is unknown, leave the value at 8.</t>
        </r>
        <r>
          <rPr>
            <sz val="9"/>
            <color indexed="81"/>
            <rFont val="Calibri"/>
            <family val="2"/>
          </rPr>
          <t xml:space="preserve">
</t>
        </r>
      </text>
    </comment>
    <comment ref="C9" authorId="0" shapeId="0" xr:uid="{00000000-0006-0000-1900-000003000000}">
      <text>
        <r>
          <rPr>
            <b/>
            <sz val="9"/>
            <color indexed="81"/>
            <rFont val="Calibri"/>
            <family val="2"/>
          </rPr>
          <t>Carbon in the form of dissolved CO_2, carbonic acid, bicarbonate, and carbonate.</t>
        </r>
      </text>
    </comment>
    <comment ref="C24" authorId="0" shapeId="0" xr:uid="{00000000-0006-0000-1900-000004000000}">
      <text>
        <r>
          <rPr>
            <b/>
            <sz val="9"/>
            <color indexed="81"/>
            <rFont val="Calibri"/>
            <family val="2"/>
          </rPr>
          <t xml:space="preserve">If using lactic acid, amount to add.  Do </t>
        </r>
        <r>
          <rPr>
            <b/>
            <u/>
            <sz val="9"/>
            <color indexed="81"/>
            <rFont val="Calibri"/>
            <family val="2"/>
          </rPr>
          <t>not</t>
        </r>
        <r>
          <rPr>
            <b/>
            <sz val="9"/>
            <color indexed="81"/>
            <rFont val="Calibri"/>
            <family val="2"/>
          </rPr>
          <t xml:space="preserve"> add both lactic and phosphoric.</t>
        </r>
        <r>
          <rPr>
            <sz val="9"/>
            <color indexed="81"/>
            <rFont val="Calibri"/>
            <family val="2"/>
          </rPr>
          <t xml:space="preserve">
</t>
        </r>
      </text>
    </comment>
    <comment ref="C31" authorId="0" shapeId="0" xr:uid="{00000000-0006-0000-1900-000005000000}">
      <text>
        <r>
          <rPr>
            <b/>
            <sz val="9"/>
            <color indexed="81"/>
            <rFont val="Calibri"/>
            <family val="2"/>
          </rPr>
          <t xml:space="preserve">If using phosphoric acid, amount to add.  Do </t>
        </r>
        <r>
          <rPr>
            <b/>
            <u/>
            <sz val="9"/>
            <color indexed="81"/>
            <rFont val="Calibri"/>
            <family val="2"/>
          </rPr>
          <t>not</t>
        </r>
        <r>
          <rPr>
            <b/>
            <sz val="9"/>
            <color indexed="81"/>
            <rFont val="Calibri"/>
            <family val="2"/>
          </rPr>
          <t xml:space="preserve"> add both lactic and phosphoric.</t>
        </r>
        <r>
          <rPr>
            <sz val="9"/>
            <color indexed="81"/>
            <rFont val="Calibri"/>
            <family val="2"/>
          </rPr>
          <t xml:space="preserve">
</t>
        </r>
      </text>
    </comment>
  </commentList>
</comments>
</file>

<file path=xl/sharedStrings.xml><?xml version="1.0" encoding="utf-8"?>
<sst xmlns="http://schemas.openxmlformats.org/spreadsheetml/2006/main" count="2820" uniqueCount="1465">
  <si>
    <t>Mash Time (minutes)</t>
  </si>
  <si>
    <t>Mash Efficiency</t>
  </si>
  <si>
    <t>---OR---</t>
  </si>
  <si>
    <t>Sparge Water:</t>
  </si>
  <si>
    <t>Hop</t>
  </si>
  <si>
    <t>Default Alpha Acid %</t>
  </si>
  <si>
    <t>Ahtanum</t>
  </si>
  <si>
    <t>Bravo</t>
  </si>
  <si>
    <t>Brewers Gold</t>
  </si>
  <si>
    <t>Cascade</t>
  </si>
  <si>
    <t>Challenger,UK</t>
  </si>
  <si>
    <t>Chinook</t>
  </si>
  <si>
    <t>Cluster</t>
  </si>
  <si>
    <t>Columbus</t>
  </si>
  <si>
    <t>Crystal</t>
  </si>
  <si>
    <t>Galena</t>
  </si>
  <si>
    <t>Glacier</t>
  </si>
  <si>
    <t>Green Bullet, NZ</t>
  </si>
  <si>
    <t>Hallertau, German</t>
  </si>
  <si>
    <t>Hersbrucker, German</t>
  </si>
  <si>
    <t>Horizon</t>
  </si>
  <si>
    <t>Kent Goldings, UK</t>
  </si>
  <si>
    <t>Liberty</t>
  </si>
  <si>
    <t>Magnum Pellets, GR</t>
  </si>
  <si>
    <t>Millennium</t>
  </si>
  <si>
    <t>Mt. Hood</t>
  </si>
  <si>
    <t>Nelson Sauvin, NZ</t>
  </si>
  <si>
    <t>Northern Brewer</t>
  </si>
  <si>
    <t>Nugget</t>
  </si>
  <si>
    <t>Pacific Jade, NZ</t>
  </si>
  <si>
    <t>Pacifica, NZ</t>
  </si>
  <si>
    <t>Perle, GR</t>
  </si>
  <si>
    <t>Saaz, Czech</t>
  </si>
  <si>
    <t>Saaz, US</t>
  </si>
  <si>
    <t>Saphir, German</t>
  </si>
  <si>
    <t>Select, GR</t>
  </si>
  <si>
    <t>Spalt, German</t>
  </si>
  <si>
    <t>Sterling, US</t>
  </si>
  <si>
    <t>Styrian Bobek</t>
  </si>
  <si>
    <t>Styrian Golding</t>
  </si>
  <si>
    <t>Summit</t>
  </si>
  <si>
    <t>Super Alpha, NZ</t>
  </si>
  <si>
    <t>Target, UK</t>
  </si>
  <si>
    <t>Tettnang, German</t>
  </si>
  <si>
    <t>Warrior</t>
  </si>
  <si>
    <t>Willamette</t>
  </si>
  <si>
    <t>Helga, Au</t>
  </si>
  <si>
    <t>Pride of Ringwood, Au</t>
  </si>
  <si>
    <t>Stella, Au</t>
  </si>
  <si>
    <t>Super Pride, Au</t>
  </si>
  <si>
    <t>Mash Tun Initial Heat Absorption Value</t>
  </si>
  <si>
    <t>Grains, Fermentables, Other</t>
  </si>
  <si>
    <t>Ingredient</t>
  </si>
  <si>
    <t>PPG</t>
  </si>
  <si>
    <t>Grain</t>
  </si>
  <si>
    <t>PPG/1000</t>
  </si>
  <si>
    <t>Extraction affected by Mash Efficiency?</t>
  </si>
  <si>
    <t>Basic Attenuation</t>
  </si>
  <si>
    <t>Attenuation Affected by Mash Cond?</t>
  </si>
  <si>
    <t>Recipe Grain</t>
  </si>
  <si>
    <t>Mash (or non-Mash) Yield</t>
  </si>
  <si>
    <t>Adjusted for Mash Temp</t>
  </si>
  <si>
    <t>Adjusted for Mash Time</t>
  </si>
  <si>
    <t>FG Points</t>
  </si>
  <si>
    <t>---Select Grain/Fermentable---</t>
  </si>
  <si>
    <t>n</t>
  </si>
  <si>
    <t>American Brewer's Two-Row</t>
  </si>
  <si>
    <t>y</t>
  </si>
  <si>
    <t>Belgian Aromatic</t>
  </si>
  <si>
    <t>Belgian Pils (2 SRM)</t>
  </si>
  <si>
    <t>Best Malz Belgian Pils</t>
  </si>
  <si>
    <t>Bries 2-row caramel 80</t>
  </si>
  <si>
    <t>Briess C40</t>
  </si>
  <si>
    <t>Briess Special Roast 50</t>
  </si>
  <si>
    <t>Totals</t>
  </si>
  <si>
    <t>Briess White Wheat Malt (3 SRM)</t>
  </si>
  <si>
    <t>C-40</t>
  </si>
  <si>
    <t>Carafa Special II (415 SRM)</t>
  </si>
  <si>
    <t>In Post Boil Volume</t>
  </si>
  <si>
    <t>Computed Total Attenuation</t>
  </si>
  <si>
    <t>Carafoam (2 srm)</t>
  </si>
  <si>
    <t>Carahells</t>
  </si>
  <si>
    <t>Recipe Strain</t>
  </si>
  <si>
    <t>Caramel 10</t>
  </si>
  <si>
    <t>Caramel Pils</t>
  </si>
  <si>
    <t>Caramunich (56 SRM)</t>
  </si>
  <si>
    <t>Recipe Mash Time</t>
  </si>
  <si>
    <t>Carapils</t>
  </si>
  <si>
    <t>Crisp Black Malt, 550L</t>
  </si>
  <si>
    <t>Temp Lookup Table</t>
  </si>
  <si>
    <t>Mash Time Lookup Table</t>
  </si>
  <si>
    <t>Crisp Brown Malt</t>
  </si>
  <si>
    <t>Mash Temp</t>
  </si>
  <si>
    <t>Attenuation Factor</t>
  </si>
  <si>
    <t>Time</t>
  </si>
  <si>
    <t>Adj</t>
  </si>
  <si>
    <t>Crisp Chocolate, 412L</t>
  </si>
  <si>
    <t>Crisp Crystal 120</t>
  </si>
  <si>
    <t>Crisp Maris Otter</t>
  </si>
  <si>
    <t>Flaked Rye</t>
  </si>
  <si>
    <t>Flaked Spelt</t>
  </si>
  <si>
    <t>German Pils</t>
  </si>
  <si>
    <t>German Pilsner (2 SRM)</t>
  </si>
  <si>
    <t>Golden Promise</t>
  </si>
  <si>
    <t>Honey</t>
  </si>
  <si>
    <t>Maltodextrin</t>
  </si>
  <si>
    <t>Maris Otter</t>
  </si>
  <si>
    <t>Munich (9 srm)</t>
  </si>
  <si>
    <t>Simpsons Chocolate (430)</t>
  </si>
  <si>
    <t>Weyermann Munich Type 2 (9 SRM)</t>
  </si>
  <si>
    <t xml:space="preserve">Weyermann Pale Wheat </t>
  </si>
  <si>
    <t>Weyermann Vienna</t>
  </si>
  <si>
    <t>Wheat Malt</t>
  </si>
  <si>
    <t>Flaked Oats</t>
  </si>
  <si>
    <t>Sucrose (Table Sugar)</t>
  </si>
  <si>
    <t>Attenuation Calc Approach</t>
  </si>
  <si>
    <t>For each ingredient in grist…</t>
  </si>
  <si>
    <t>1) calculate gravity points contribution based on PPG and mash efficiency (where appropriate)</t>
  </si>
  <si>
    <t>2) multiply by basic attenuation factor (based on Doss)</t>
  </si>
  <si>
    <t>3) Adjust for Mash Temp (Mattbk's slopes of Kai's data) where appropriate</t>
  </si>
  <si>
    <t>5) Adjust for Strain multiplying by Doss Strain percentages divided by 76 (average strain cosmological constant)</t>
  </si>
  <si>
    <t>Yeast Strain</t>
  </si>
  <si>
    <t>Adjusted for Strain and Power Factor</t>
  </si>
  <si>
    <t>Ingredient Lbs</t>
  </si>
  <si>
    <t>(the cosmological constant can be tweaked to fit system results).  Multiply by Yeast Power Factor.</t>
  </si>
  <si>
    <t>qts water per pound grain mash</t>
  </si>
  <si>
    <t>Gallons</t>
  </si>
  <si>
    <t>Strike Water</t>
  </si>
  <si>
    <t>Grain in lbs:</t>
  </si>
  <si>
    <t>Boil Time in Mins:</t>
  </si>
  <si>
    <t>Grain Absorption Loss</t>
  </si>
  <si>
    <t>Tun Dead Space</t>
  </si>
  <si>
    <t>Planned Gallons Into Fermenter</t>
  </si>
  <si>
    <t>Total</t>
  </si>
  <si>
    <t>Boil Time (minutes)</t>
  </si>
  <si>
    <t>Rice Hulls Absorption</t>
  </si>
  <si>
    <t>Water Into Kettle</t>
  </si>
  <si>
    <t>check</t>
  </si>
  <si>
    <t>In Pre-Boil Volume</t>
  </si>
  <si>
    <t>Type (l/p)</t>
  </si>
  <si>
    <t>Ounces</t>
  </si>
  <si>
    <t>Conc</t>
  </si>
  <si>
    <t>Util</t>
  </si>
  <si>
    <t>IBUs</t>
  </si>
  <si>
    <t>Minutes</t>
  </si>
  <si>
    <t>AA%</t>
  </si>
  <si>
    <t xml:space="preserve">leaf </t>
  </si>
  <si>
    <t>pellet</t>
  </si>
  <si>
    <t>Total Water Needed</t>
  </si>
  <si>
    <t>Predicted Apparent Attenuation:</t>
  </si>
  <si>
    <t>---Select Hop---</t>
  </si>
  <si>
    <t>Type (L/P)</t>
  </si>
  <si>
    <t>AA% Override</t>
  </si>
  <si>
    <t>AA% Use</t>
  </si>
  <si>
    <t>Average Wort Gravity</t>
  </si>
  <si>
    <t>IBU Use</t>
  </si>
  <si>
    <t>Acid Malt</t>
  </si>
  <si>
    <t>Amber Malt</t>
  </si>
  <si>
    <t>Flaked Barley</t>
  </si>
  <si>
    <t>Biscuit</t>
  </si>
  <si>
    <t>Black Patent</t>
  </si>
  <si>
    <t>Brumalt</t>
  </si>
  <si>
    <t>CaraAmber</t>
  </si>
  <si>
    <t>Caramel/Crystal Malt - 10L</t>
  </si>
  <si>
    <t>Caramel/Crystal Malt - 20L</t>
  </si>
  <si>
    <t>Caramel/Crystal Malt - 30L</t>
  </si>
  <si>
    <t>Caramel/Crystal Malt - 60L</t>
  </si>
  <si>
    <t>Caramel/Crystal Malt - 80L</t>
  </si>
  <si>
    <t>Caramel/Crystal Malt - 120L</t>
  </si>
  <si>
    <t>CaraRed</t>
  </si>
  <si>
    <t>CaraVienne</t>
  </si>
  <si>
    <t>Chocolate (US, 350 SRM)</t>
  </si>
  <si>
    <t>Corn Sugar (Dextrose)</t>
  </si>
  <si>
    <t>Corn Syrup</t>
  </si>
  <si>
    <t>Flaked Corn</t>
  </si>
  <si>
    <t>Dememera Sugar</t>
  </si>
  <si>
    <t>Invert Sugar</t>
  </si>
  <si>
    <t>Maple Syrup</t>
  </si>
  <si>
    <t>Melanoiden Malt</t>
  </si>
  <si>
    <t>Mild</t>
  </si>
  <si>
    <t>Lactose</t>
  </si>
  <si>
    <t>Molasses</t>
  </si>
  <si>
    <t>Munich (20L)</t>
  </si>
  <si>
    <t>Malted Oats</t>
  </si>
  <si>
    <t>Belgian Pilsner</t>
  </si>
  <si>
    <t>UK Pilsner</t>
  </si>
  <si>
    <t>Rice Extract Syrup</t>
  </si>
  <si>
    <t>Flaked Rice</t>
  </si>
  <si>
    <t>Roasted Barley (US, 300 SRM)</t>
  </si>
  <si>
    <t>Rye Malt</t>
  </si>
  <si>
    <t>Special B</t>
  </si>
  <si>
    <t>Special Roast</t>
  </si>
  <si>
    <t>Turbinado</t>
  </si>
  <si>
    <t>Victory</t>
  </si>
  <si>
    <t>Wheat Dry Extract</t>
  </si>
  <si>
    <t>Wheat Malt (Belgian)</t>
  </si>
  <si>
    <t>Wheat Malt (German)</t>
  </si>
  <si>
    <t>Flaked Wheat</t>
  </si>
  <si>
    <t>Torrified Wheat</t>
  </si>
  <si>
    <t>White Wheat Malt (US)</t>
  </si>
  <si>
    <t>Initial Infusion Equation:</t>
  </si>
  <si>
    <t>Tw = (.2/r)(T2 - T1) + T2</t>
  </si>
  <si>
    <t>Mash Infusion Equation:</t>
  </si>
  <si>
    <t>Wa = (T2 - T1)(.2G + Wm)/(Tw - T2)</t>
  </si>
  <si>
    <t>where:</t>
  </si>
  <si>
    <t>r = The ratio of water to grain in quarts per pound</t>
  </si>
  <si>
    <t>Wa = The amount of Infusion water added (in quarts).</t>
  </si>
  <si>
    <t>Wm = The total amount of water in the mash (in quarts).</t>
  </si>
  <si>
    <t>T1 = The initial temperature (¡F) of the mash.</t>
  </si>
  <si>
    <t>T2 = The target temperature (¡F) of the mash.</t>
  </si>
  <si>
    <t>Tw = The actual temperature (¡F) of the infusion water.</t>
  </si>
  <si>
    <t>G = The amount of grain in the mash (in pounds).</t>
  </si>
  <si>
    <t>Initial Infusion</t>
  </si>
  <si>
    <t>Weight of Grain in lbs</t>
  </si>
  <si>
    <t>Strike Volume of Water in Gallons</t>
  </si>
  <si>
    <t>OR Sparge (After Drain)</t>
  </si>
  <si>
    <t>:Weight of Grain in lbs</t>
  </si>
  <si>
    <t>:Existing Volume of Water in Quarts</t>
  </si>
  <si>
    <t>:Existing H20 Volume if No Sparge</t>
  </si>
  <si>
    <t>:Initial Temp of Mash</t>
  </si>
  <si>
    <t>Target Temp for for 'Mashout' (normally 168)</t>
  </si>
  <si>
    <t>Amount of Sparge Water to Add in Gallons</t>
  </si>
  <si>
    <t>Sparge Water Temp</t>
  </si>
  <si>
    <t>Sparge Water Temp if Doing 'No Sparge'</t>
  </si>
  <si>
    <t>------------------------------------------------------------------------------</t>
  </si>
  <si>
    <t>Mash Tun Equivalent Water Volume</t>
  </si>
  <si>
    <t>grain absorption in gallons per pound</t>
  </si>
  <si>
    <t>Strike Vol of water in quarts</t>
  </si>
  <si>
    <t>effective water to grain ratio</t>
  </si>
  <si>
    <t>Mash Tun Heat Loss per Hour</t>
  </si>
  <si>
    <t>Mash Length</t>
  </si>
  <si>
    <t>Mash Tun Heat Loss During Mash</t>
  </si>
  <si>
    <t>Strike Water Temp</t>
  </si>
  <si>
    <t>Grain Lbs</t>
  </si>
  <si>
    <t>Simcoe</t>
  </si>
  <si>
    <t>Centennial</t>
  </si>
  <si>
    <t>Brew Date</t>
  </si>
  <si>
    <t>User: Please don't tweak this number.</t>
  </si>
  <si>
    <t xml:space="preserve">Use the "Power Factor" on the BREWHOUSE sheet instead </t>
  </si>
  <si>
    <t>- does not do decoction mashes</t>
  </si>
  <si>
    <t>- does not do step mashes (other than adding a mashout step)</t>
  </si>
  <si>
    <r>
      <t xml:space="preserve">- Understands that some gravity contributors are </t>
    </r>
    <r>
      <rPr>
        <sz val="16"/>
        <color indexed="17"/>
        <rFont val="Calibri"/>
        <family val="2"/>
      </rPr>
      <t>not fermentable at all</t>
    </r>
  </si>
  <si>
    <r>
      <t xml:space="preserve">- Predicts attenuation based not only on yeast strain, but also on </t>
    </r>
    <r>
      <rPr>
        <sz val="16"/>
        <color indexed="17"/>
        <rFont val="Calibri"/>
        <family val="2"/>
      </rPr>
      <t>mash conditions</t>
    </r>
    <r>
      <rPr>
        <sz val="16"/>
        <color indexed="8"/>
        <rFont val="Calibri"/>
        <family val="2"/>
      </rPr>
      <t xml:space="preserve"> and </t>
    </r>
    <r>
      <rPr>
        <sz val="16"/>
        <color indexed="17"/>
        <rFont val="Calibri"/>
        <family val="2"/>
      </rPr>
      <t>grain bill</t>
    </r>
    <r>
      <rPr>
        <sz val="16"/>
        <color indexed="8"/>
        <rFont val="Calibri"/>
        <family val="2"/>
      </rPr>
      <t xml:space="preserve"> composition</t>
    </r>
  </si>
  <si>
    <t>This brewing spreadsheet endeavors to do a few things that commercial software does not, and a lot of things that comm'l software typically does.</t>
  </si>
  <si>
    <t>---VikeMan</t>
  </si>
  <si>
    <t>Some things it does</t>
  </si>
  <si>
    <r>
      <t xml:space="preserve">Some things it does </t>
    </r>
    <r>
      <rPr>
        <sz val="16"/>
        <color indexed="10"/>
        <rFont val="Calibri"/>
        <family val="2"/>
      </rPr>
      <t xml:space="preserve">not </t>
    </r>
    <r>
      <rPr>
        <sz val="16"/>
        <color indexed="8"/>
        <rFont val="Calibri"/>
        <family val="2"/>
      </rPr>
      <t>do</t>
    </r>
  </si>
  <si>
    <t>If you add a yeast strain, find another strain with very similar attenuation, and use its number in the table.</t>
  </si>
  <si>
    <t>- does not save recipes in a database (you save each recipe as its own excel workbook..give it its own name)</t>
  </si>
  <si>
    <t>Special thanks to Mattbk from the Beer Advocate forum, for sharing his attenuation work, which inspired me to get off my butt and get to work.</t>
  </si>
  <si>
    <r>
      <t xml:space="preserve">- Understands that simple sugars are </t>
    </r>
    <r>
      <rPr>
        <sz val="16"/>
        <color indexed="17"/>
        <rFont val="Calibri"/>
        <family val="2"/>
      </rPr>
      <t>100% fermentable</t>
    </r>
    <r>
      <rPr>
        <sz val="16"/>
        <color indexed="8"/>
        <rFont val="Calibri"/>
        <family val="2"/>
      </rPr>
      <t>, and that they are not subject to mash efficiency or yeast strain factors</t>
    </r>
  </si>
  <si>
    <t>Reference Avg Attenuation</t>
  </si>
  <si>
    <t>4) Adjust for Mash Time (Doss adjustments) where appropriate</t>
  </si>
  <si>
    <t>- Accounts explicitly for wort and water losses, and adjusts total water (and related calculations) accordingly</t>
  </si>
  <si>
    <r>
      <t xml:space="preserve">- Uses a correct Tinseth formula with </t>
    </r>
    <r>
      <rPr>
        <sz val="16"/>
        <color indexed="17"/>
        <rFont val="Calibri"/>
        <family val="2"/>
      </rPr>
      <t>Avg Boil Gravity</t>
    </r>
    <r>
      <rPr>
        <sz val="16"/>
        <color indexed="8"/>
        <rFont val="Calibri"/>
        <family val="2"/>
      </rPr>
      <t xml:space="preserve"> in the 'bigness' factor rather than the pre-boil OG (which is both popular and wrong)</t>
    </r>
  </si>
  <si>
    <t>Attenuation Power Factor</t>
  </si>
  <si>
    <t>SRM</t>
  </si>
  <si>
    <t>Brown Sugar,Dark</t>
  </si>
  <si>
    <t>Brown Sugar, Light</t>
  </si>
  <si>
    <t>Caramel/Crystal Malt - 40L</t>
  </si>
  <si>
    <t>Ingred SRM</t>
  </si>
  <si>
    <t>MCU</t>
  </si>
  <si>
    <t>Tot MCU</t>
  </si>
  <si>
    <t>Predicted SRM:</t>
  </si>
  <si>
    <t>I have drawn on the work and data of Greg Doss and Kai Troester for the attenuation calculations.  Any mistakes are mine.</t>
  </si>
  <si>
    <t>Roasted Barley (English, 500L)</t>
  </si>
  <si>
    <t>Boil Hops</t>
  </si>
  <si>
    <t>Flameout/Whirlpool/Hopstand Hops</t>
  </si>
  <si>
    <t>Avg Temp</t>
  </si>
  <si>
    <t>Dry Hops</t>
  </si>
  <si>
    <t>Post-Boil Hops</t>
  </si>
  <si>
    <t>Total Hops for Absporp Calc</t>
  </si>
  <si>
    <t>PB Util</t>
  </si>
  <si>
    <t>Temp Factor</t>
  </si>
  <si>
    <t>Total Post Boil IBUs</t>
  </si>
  <si>
    <t>Adjusted Total IBUs</t>
  </si>
  <si>
    <t>Constrained Adjusted Total IBUs</t>
  </si>
  <si>
    <t>Total Kettle IBUs (raw Tinseth total)</t>
  </si>
  <si>
    <t>(no 65+ splice and not constrained)</t>
  </si>
  <si>
    <t>(spliced. Not constrained)</t>
  </si>
  <si>
    <t>(spliced and constrained)</t>
  </si>
  <si>
    <t>- Limits IBUs to 110 (solubility limit)</t>
  </si>
  <si>
    <t>- Adds bitterness contributions for post boil hop additions, modeled and extrapolated from the work of Mark G. Malowicki</t>
  </si>
  <si>
    <t>(6-8-2013 Beta: Fixed some Grain Attenuation numbers)</t>
  </si>
  <si>
    <t>+IBUs</t>
  </si>
  <si>
    <t>A</t>
  </si>
  <si>
    <t>L</t>
  </si>
  <si>
    <t>H</t>
  </si>
  <si>
    <t>Gravity</t>
  </si>
  <si>
    <t>Yeast</t>
  </si>
  <si>
    <t>BatchSize</t>
  </si>
  <si>
    <t>BeerType</t>
  </si>
  <si>
    <t>SizeMultiplier</t>
  </si>
  <si>
    <t>5.1 gal seconds</t>
  </si>
  <si>
    <t>Full Batch Seconds</t>
  </si>
  <si>
    <t>Recommended Wort O2 Seconds:</t>
  </si>
  <si>
    <t>Lager Days</t>
  </si>
  <si>
    <t>Recommended Lagering Days:</t>
  </si>
  <si>
    <t>Thanks to my son Jonathan for reacquainting me with natural log functions.</t>
  </si>
  <si>
    <t>(7-19-2013, V1.0, Incorporated Modified Tinseth Formula, Oxygenation calcs, Lagering Calcs, name change)</t>
  </si>
  <si>
    <t>Hops Remain in Kettle Deadspace?</t>
  </si>
  <si>
    <t>Net Kettle Dead Space</t>
  </si>
  <si>
    <t>N</t>
  </si>
  <si>
    <t>(7-24-2013, V1.1, added hose/pump/siphon wort loss and kettle deadspace loss parameters.)</t>
  </si>
  <si>
    <t>Style</t>
  </si>
  <si>
    <t>Low OG</t>
  </si>
  <si>
    <t>Hi OG</t>
  </si>
  <si>
    <t>Low FG</t>
  </si>
  <si>
    <t>High FG</t>
  </si>
  <si>
    <t>Low ABV</t>
  </si>
  <si>
    <t>Hgh ABV</t>
  </si>
  <si>
    <t>Low IBU</t>
  </si>
  <si>
    <t>High IBU</t>
  </si>
  <si>
    <t>Low SRM</t>
  </si>
  <si>
    <t>Hi SRM</t>
  </si>
  <si>
    <t>Munich Helles</t>
  </si>
  <si>
    <t>Recipe OG</t>
  </si>
  <si>
    <t>Recipe FG</t>
  </si>
  <si>
    <t>Lo OG</t>
  </si>
  <si>
    <t>Lo FG</t>
  </si>
  <si>
    <t>Hi FG</t>
  </si>
  <si>
    <t>Recipe ABV</t>
  </si>
  <si>
    <t>Lo ABV</t>
  </si>
  <si>
    <t>Hi ABV</t>
  </si>
  <si>
    <t>Recipe Tin IBU</t>
  </si>
  <si>
    <t>Lo Tin IBU</t>
  </si>
  <si>
    <t>Hi Tin IBU</t>
  </si>
  <si>
    <t>Recipe Mod IBU</t>
  </si>
  <si>
    <t>Lo Mod IBU</t>
  </si>
  <si>
    <t>Hi Mod IBU</t>
  </si>
  <si>
    <t>Recipe SRM</t>
  </si>
  <si>
    <t>Lo SRM</t>
  </si>
  <si>
    <t>American Amber Ale</t>
  </si>
  <si>
    <t>Baltic Porter</t>
  </si>
  <si>
    <t>Sweet Stout</t>
  </si>
  <si>
    <t>Foreign Extra Stout</t>
  </si>
  <si>
    <t>American Stout</t>
  </si>
  <si>
    <t>Weizenbock</t>
  </si>
  <si>
    <t>Belgian Pale Ale</t>
  </si>
  <si>
    <t>Bière de Garde</t>
  </si>
  <si>
    <t>Belgian Tripel</t>
  </si>
  <si>
    <t>Belgian Golden Strong Ale</t>
  </si>
  <si>
    <t>Belgian Dark Strong Ale</t>
  </si>
  <si>
    <t>American Barleywine</t>
  </si>
  <si>
    <t>---Select Style---</t>
  </si>
  <si>
    <t xml:space="preserve">(7-27-2013, V1.2, added style logic, highlighting in red any gravities, ABVs, IBUs, and SRMs not to style) </t>
  </si>
  <si>
    <t>DP</t>
  </si>
  <si>
    <t>Tot Grain DP</t>
  </si>
  <si>
    <t>Tot DP</t>
  </si>
  <si>
    <t>Avg DP</t>
  </si>
  <si>
    <t>Mash Average Diastatic Power (Deg L):</t>
  </si>
  <si>
    <t>DP Qual</t>
  </si>
  <si>
    <t>Grain, Fermentable, Other</t>
  </si>
  <si>
    <t>Type</t>
  </si>
  <si>
    <t>Boil Time</t>
  </si>
  <si>
    <t>----------Grain Bill----------</t>
  </si>
  <si>
    <t>----------Kettle Hop Additions----------</t>
  </si>
  <si>
    <t>----------Flameout/Whirlpool/Hopstand Hops----------</t>
  </si>
  <si>
    <t>---------------Dry Hops---------------</t>
  </si>
  <si>
    <t>Fermentation Temp</t>
  </si>
  <si>
    <r>
      <t xml:space="preserve">- Computes </t>
    </r>
    <r>
      <rPr>
        <sz val="16"/>
        <color indexed="17"/>
        <rFont val="Calibri"/>
        <family val="2"/>
      </rPr>
      <t>Diastatic Power</t>
    </r>
    <r>
      <rPr>
        <sz val="16"/>
        <color indexed="8"/>
        <rFont val="Calibri"/>
        <family val="2"/>
      </rPr>
      <t xml:space="preserve"> for the Mash, and warns when grist's DP is marginal or poor  </t>
    </r>
  </si>
  <si>
    <r>
      <t xml:space="preserve">- </t>
    </r>
    <r>
      <rPr>
        <sz val="16"/>
        <color indexed="17"/>
        <rFont val="Calibri"/>
        <family val="2"/>
      </rPr>
      <t>Wort Oxygenation</t>
    </r>
    <r>
      <rPr>
        <sz val="16"/>
        <color indexed="8"/>
        <rFont val="Calibri"/>
        <family val="2"/>
      </rPr>
      <t xml:space="preserve"> Recommendations</t>
    </r>
  </si>
  <si>
    <r>
      <t xml:space="preserve">- </t>
    </r>
    <r>
      <rPr>
        <sz val="16"/>
        <color indexed="17"/>
        <rFont val="Calibri"/>
        <family val="2"/>
      </rPr>
      <t>Lagering Days</t>
    </r>
    <r>
      <rPr>
        <sz val="16"/>
        <color indexed="8"/>
        <rFont val="Calibri"/>
        <family val="2"/>
      </rPr>
      <t xml:space="preserve"> Recommendations</t>
    </r>
  </si>
  <si>
    <t>initial bill</t>
  </si>
  <si>
    <t>total</t>
  </si>
  <si>
    <t>current OG</t>
  </si>
  <si>
    <t>adj bill</t>
  </si>
  <si>
    <t xml:space="preserve">(8-30-2013, V1.3, added diastatic power calc, BJCP style attribute Hi/Lo indicators, 'BrewDay Print Me' Sheet, Grain Bill Scaling) </t>
  </si>
  <si>
    <r>
      <t xml:space="preserve">- </t>
    </r>
    <r>
      <rPr>
        <sz val="16"/>
        <color indexed="17"/>
        <rFont val="Calibri"/>
        <family val="2"/>
      </rPr>
      <t>Scales Grain Bill</t>
    </r>
    <r>
      <rPr>
        <sz val="16"/>
        <color indexed="8"/>
        <rFont val="Calibri"/>
        <family val="2"/>
      </rPr>
      <t xml:space="preserve"> to any desired Original Gravity</t>
    </r>
  </si>
  <si>
    <t xml:space="preserve">Time </t>
  </si>
  <si>
    <t>Kai 67C</t>
  </si>
  <si>
    <t>Atten</t>
  </si>
  <si>
    <t xml:space="preserve"> </t>
  </si>
  <si>
    <t>60 min as baseline</t>
  </si>
  <si>
    <t>Multiplier</t>
  </si>
  <si>
    <t>Doss Times</t>
  </si>
  <si>
    <t>Vienna</t>
  </si>
  <si>
    <t>Lovibond</t>
  </si>
  <si>
    <t>Grist</t>
  </si>
  <si>
    <t>Color</t>
  </si>
  <si>
    <t>Amount</t>
  </si>
  <si>
    <t>grist</t>
  </si>
  <si>
    <t>Acidity (A)</t>
  </si>
  <si>
    <t>f * A</t>
  </si>
  <si>
    <r>
      <t xml:space="preserve">Welcome to MpH Calculator, a spreadsheet for estimating Mash pH.  This estimation is based on the grain bill, strike-water ions, and salt and acid additions.  The formulae used here are extensively discussed in two papers on the subject, both of which are available on the website </t>
    </r>
    <r>
      <rPr>
        <b/>
        <u/>
        <sz val="12"/>
        <color indexed="8"/>
        <rFont val="Calibri"/>
        <family val="2"/>
      </rPr>
      <t>homebrewingphysics.blogspot.com</t>
    </r>
    <r>
      <rPr>
        <sz val="11"/>
        <color theme="1"/>
        <rFont val="Calibri"/>
        <family val="2"/>
        <scheme val="minor"/>
      </rPr>
      <t>.  Feel free to adapt this worksheet to your own brewing spreadsheet, if you so desire.  We only ask that if you distribute your spreadsheet please give appropriate attribution, making note of the above website.</t>
    </r>
  </si>
  <si>
    <t>(deg L)</t>
  </si>
  <si>
    <t>(W, B, C, or R)</t>
  </si>
  <si>
    <t>(lb)</t>
  </si>
  <si>
    <t>fraction (f)</t>
  </si>
  <si>
    <t>(mEq/kg)</t>
  </si>
  <si>
    <t>B</t>
  </si>
  <si>
    <t>C</t>
  </si>
  <si>
    <t>R</t>
  </si>
  <si>
    <t>Throughout this sheet the yellow cells are for entering data about the malt bill, strike water ions, salt additions, and acid additions.  Other cells are protected, although if you really wish to change them, simply unprotect the sheet.</t>
  </si>
  <si>
    <t>Distilled Water Mash pH</t>
  </si>
  <si>
    <t>Strike Water Ions</t>
  </si>
  <si>
    <t>Strike water volume (gal)</t>
  </si>
  <si>
    <t>(L)</t>
  </si>
  <si>
    <t>Percentage that is distilled</t>
  </si>
  <si>
    <t>Mash thickness R (qt/lb)</t>
  </si>
  <si>
    <t>(L/kg)</t>
  </si>
  <si>
    <t>pH / RA slope S_RA (L/mEq)</t>
  </si>
  <si>
    <t>positive Ions</t>
  </si>
  <si>
    <t>negative ions</t>
  </si>
  <si>
    <t>Source water ions</t>
  </si>
  <si>
    <t>Ca</t>
  </si>
  <si>
    <t>Mg</t>
  </si>
  <si>
    <t>Na</t>
  </si>
  <si>
    <t>Cl</t>
  </si>
  <si>
    <t>SO_4</t>
  </si>
  <si>
    <t>HCO_3</t>
  </si>
  <si>
    <t>ion balance</t>
  </si>
  <si>
    <t>PK RA</t>
  </si>
  <si>
    <t>KT RA</t>
  </si>
  <si>
    <t>Concentration (ppm)</t>
  </si>
  <si>
    <t>Normality (mEq/L)</t>
  </si>
  <si>
    <t>Mixed water ions</t>
  </si>
  <si>
    <t>Mixed Water Mash pH</t>
  </si>
  <si>
    <t>Salt Additions</t>
  </si>
  <si>
    <t>decreases pH</t>
  </si>
  <si>
    <t>pH neutral</t>
  </si>
  <si>
    <t>increases pH</t>
  </si>
  <si>
    <t>Strike water salts</t>
  </si>
  <si>
    <t>CaCl_2</t>
  </si>
  <si>
    <t>CaSO_4</t>
  </si>
  <si>
    <t>MgCl_2</t>
  </si>
  <si>
    <t>MgSO_4</t>
  </si>
  <si>
    <t>NaCl</t>
  </si>
  <si>
    <t>NaHCO_3</t>
  </si>
  <si>
    <t>Ca(OH)_2</t>
  </si>
  <si>
    <t>Hydration state</t>
  </si>
  <si>
    <t>*2(H_2O)</t>
  </si>
  <si>
    <t>*6(H_2O)</t>
  </si>
  <si>
    <t>*7(H_2O)</t>
  </si>
  <si>
    <t>--</t>
  </si>
  <si>
    <t>Amount added (g)</t>
  </si>
  <si>
    <t>negative Ions</t>
  </si>
  <si>
    <t>Resulting water ions</t>
  </si>
  <si>
    <t>Mash pH with Salts</t>
  </si>
  <si>
    <t>Acid Additions</t>
  </si>
  <si>
    <t>Type of Acid</t>
  </si>
  <si>
    <t>Phosphoric</t>
  </si>
  <si>
    <t>Lactic</t>
  </si>
  <si>
    <t>Strength (%)</t>
  </si>
  <si>
    <t>Density (kg/L)</t>
  </si>
  <si>
    <t>Amount added (mL / oz)</t>
  </si>
  <si>
    <t>Alkalinity (ppm CaCO_3)</t>
  </si>
  <si>
    <t>Alkalinity (mEq/L)</t>
  </si>
  <si>
    <t>Mash pH with Salts and Acids</t>
  </si>
  <si>
    <t>Sparge Water Ions</t>
  </si>
  <si>
    <t>Sparge water salts</t>
  </si>
  <si>
    <t>Overall Water</t>
  </si>
  <si>
    <t>Cl/SO_4 ratio</t>
  </si>
  <si>
    <t>Strike water conc. (ppm)</t>
  </si>
  <si>
    <t>Sparge water conc. (ppm)</t>
  </si>
  <si>
    <t>Overall water conc. (ppm)</t>
  </si>
  <si>
    <t>W</t>
  </si>
  <si>
    <t>XXXXX</t>
  </si>
  <si>
    <t>ZZZZZ</t>
  </si>
  <si>
    <t>Sparge Water</t>
  </si>
  <si>
    <r>
      <t>SO</t>
    </r>
    <r>
      <rPr>
        <b/>
        <vertAlign val="subscript"/>
        <sz val="11"/>
        <color indexed="8"/>
        <rFont val="Calibri"/>
        <family val="2"/>
      </rPr>
      <t>4</t>
    </r>
  </si>
  <si>
    <r>
      <t>HCO</t>
    </r>
    <r>
      <rPr>
        <b/>
        <vertAlign val="subscript"/>
        <sz val="11"/>
        <color indexed="8"/>
        <rFont val="Calibri"/>
        <family val="2"/>
      </rPr>
      <t>3</t>
    </r>
  </si>
  <si>
    <t>% Distilled</t>
  </si>
  <si>
    <t>Color Deg L</t>
  </si>
  <si>
    <t>Grist Fraction (f)</t>
  </si>
  <si>
    <t>Acidity (A) (mEq/kg)</t>
  </si>
  <si>
    <t>f * a (mEq/kg)</t>
  </si>
  <si>
    <t>Kettle Amount (g)</t>
  </si>
  <si>
    <t>Salt</t>
  </si>
  <si>
    <t>Mash Amount (g)</t>
  </si>
  <si>
    <t>Strength</t>
  </si>
  <si>
    <r>
      <t>CaCl</t>
    </r>
    <r>
      <rPr>
        <b/>
        <vertAlign val="subscript"/>
        <sz val="11"/>
        <color indexed="8"/>
        <rFont val="Calibri"/>
        <family val="2"/>
      </rPr>
      <t>2</t>
    </r>
  </si>
  <si>
    <r>
      <t>CaSO</t>
    </r>
    <r>
      <rPr>
        <b/>
        <vertAlign val="subscript"/>
        <sz val="11"/>
        <color indexed="8"/>
        <rFont val="Calibri"/>
        <family val="2"/>
      </rPr>
      <t>4</t>
    </r>
  </si>
  <si>
    <r>
      <t>MgCl</t>
    </r>
    <r>
      <rPr>
        <b/>
        <vertAlign val="subscript"/>
        <sz val="11"/>
        <color indexed="8"/>
        <rFont val="Calibri"/>
        <family val="2"/>
      </rPr>
      <t>2</t>
    </r>
  </si>
  <si>
    <r>
      <t>MgSO</t>
    </r>
    <r>
      <rPr>
        <b/>
        <vertAlign val="subscript"/>
        <sz val="11"/>
        <color indexed="8"/>
        <rFont val="Calibri"/>
        <family val="2"/>
      </rPr>
      <t>4</t>
    </r>
  </si>
  <si>
    <r>
      <t>NaHCO</t>
    </r>
    <r>
      <rPr>
        <b/>
        <vertAlign val="subscript"/>
        <sz val="11"/>
        <color indexed="8"/>
        <rFont val="Calibri"/>
        <family val="2"/>
      </rPr>
      <t>3</t>
    </r>
  </si>
  <si>
    <r>
      <t>Ca(OH)</t>
    </r>
    <r>
      <rPr>
        <b/>
        <vertAlign val="subscript"/>
        <sz val="11"/>
        <color indexed="8"/>
        <rFont val="Calibri"/>
        <family val="2"/>
      </rPr>
      <t>2</t>
    </r>
  </si>
  <si>
    <t>Decrease pH</t>
  </si>
  <si>
    <t>Neutral</t>
  </si>
  <si>
    <t>Increase pH</t>
  </si>
  <si>
    <t>Mash Acid Additions</t>
  </si>
  <si>
    <t>Acid Type</t>
  </si>
  <si>
    <r>
      <t>Strike H</t>
    </r>
    <r>
      <rPr>
        <b/>
        <vertAlign val="subscript"/>
        <sz val="11"/>
        <color indexed="8"/>
        <rFont val="Calibri"/>
        <family val="2"/>
      </rPr>
      <t>2</t>
    </r>
    <r>
      <rPr>
        <b/>
        <sz val="11"/>
        <color indexed="8"/>
        <rFont val="Calibri"/>
        <family val="2"/>
      </rPr>
      <t>O Concentration (ppm)</t>
    </r>
  </si>
  <si>
    <r>
      <t>Sparge H</t>
    </r>
    <r>
      <rPr>
        <b/>
        <vertAlign val="subscript"/>
        <sz val="11"/>
        <color indexed="8"/>
        <rFont val="Calibri"/>
        <family val="2"/>
      </rPr>
      <t>2</t>
    </r>
    <r>
      <rPr>
        <b/>
        <sz val="11"/>
        <color indexed="8"/>
        <rFont val="Calibri"/>
        <family val="2"/>
      </rPr>
      <t>O Concentration (ppm)</t>
    </r>
  </si>
  <si>
    <t>Water Results</t>
  </si>
  <si>
    <r>
      <t>Overall H</t>
    </r>
    <r>
      <rPr>
        <b/>
        <vertAlign val="subscript"/>
        <sz val="11"/>
        <color indexed="8"/>
        <rFont val="Calibri"/>
        <family val="2"/>
      </rPr>
      <t>2</t>
    </r>
    <r>
      <rPr>
        <b/>
        <sz val="11"/>
        <color indexed="8"/>
        <rFont val="Calibri"/>
        <family val="2"/>
      </rPr>
      <t>O Concentration (ppm)</t>
    </r>
  </si>
  <si>
    <t>Chloride to Sulfate Ratio</t>
  </si>
  <si>
    <t>Mash pH</t>
  </si>
  <si>
    <t xml:space="preserve">This water calculator uses models designed by Utahbeerdude.  </t>
  </si>
  <si>
    <t xml:space="preserve">See his blog at http://homebrewingphysics.blogspot.com/ for white papers and the original spreadsheet, MpH Calculator. </t>
  </si>
  <si>
    <t>Special thanks to Utahbeerdude from the Beer Advocate forum, for sharing his Mash pH Models (http://homebrewingphysics.blogspot.com/), incorporated herein.</t>
  </si>
  <si>
    <t>Source Tap/Well Water (reported ions ppm)</t>
  </si>
  <si>
    <t>Vikeman's Bo Pils</t>
  </si>
  <si>
    <t>SO4</t>
  </si>
  <si>
    <t>HCO3</t>
  </si>
  <si>
    <t>Style:</t>
  </si>
  <si>
    <t>American Brown Ale</t>
  </si>
  <si>
    <t>Vienna Lager</t>
  </si>
  <si>
    <t>VikeMan's Vienna</t>
  </si>
  <si>
    <t xml:space="preserve">Click above for suggested H2O profiles ^ </t>
  </si>
  <si>
    <t>American IPA</t>
  </si>
  <si>
    <t>VikeMan's (Averagely Perfect) AIPA</t>
  </si>
  <si>
    <t>Old Ale</t>
  </si>
  <si>
    <t>VikeMan's Old Ale</t>
  </si>
  <si>
    <t>Kai's Pilsner</t>
  </si>
  <si>
    <t>American Pale Ale</t>
  </si>
  <si>
    <t>Ward G. Walkup IV's Matrimonial Milk Stout</t>
  </si>
  <si>
    <t>Ward G. Walkup IV's Velarde's Flight</t>
  </si>
  <si>
    <t>Candi Syrup, D180</t>
  </si>
  <si>
    <t>VikeMan's Do as I Do Brown</t>
  </si>
  <si>
    <t>VikeMan's Do as I Say Brown</t>
  </si>
  <si>
    <t>You can also sort them, but make sure to only</t>
  </si>
  <si>
    <t>row 100, the recipe tab's hop dropdowns won't</t>
  </si>
  <si>
    <t>pick them up.</t>
  </si>
  <si>
    <t>If you enter hop information before row 3 or after</t>
  </si>
  <si>
    <t>the recipe tab's yeast dropdown won't</t>
  </si>
  <si>
    <t>pick it up.</t>
  </si>
  <si>
    <t>(10-11-2013, V1.5, incorporated mash chemistry models)</t>
  </si>
  <si>
    <t>(10-8-2013, V1.4, combined and normalized KT and GD data to expand Mash Time choices)</t>
  </si>
  <si>
    <t>(11-29-2013, V2.0, added example profiles to water tab.  Updated fermentability for some kilned/toasted grains based on a new model)</t>
  </si>
  <si>
    <t>Gall Absorb per Pound</t>
  </si>
  <si>
    <t>Mash Tun Deadspace</t>
  </si>
  <si>
    <t>Solve for OG of first runnings</t>
  </si>
  <si>
    <t>OG -1</t>
  </si>
  <si>
    <t>Solve for OG of Second Runnings</t>
  </si>
  <si>
    <t>Total Gall Lost</t>
  </si>
  <si>
    <t>Points in Pre-Boil Volume</t>
  </si>
  <si>
    <t>Point per Gallon in Pre-Boil Volume</t>
  </si>
  <si>
    <t>Total Points Avail in Grains</t>
  </si>
  <si>
    <t>Points in Pre-Boil Volume + Losses</t>
  </si>
  <si>
    <t>Points Avail in Resized  Bill</t>
  </si>
  <si>
    <t>Total Gall Lost Resized Bill</t>
  </si>
  <si>
    <t>Total Gallons for Resized Bill</t>
  </si>
  <si>
    <t>Points in Pre-Boil Volume from Resized Bill</t>
  </si>
  <si>
    <t>MASH EFFICIENCY for Re-Sized Bill</t>
  </si>
  <si>
    <t>Original Gallons to Pounds Strike</t>
  </si>
  <si>
    <t>Strike Water for Resized Bill</t>
  </si>
  <si>
    <t>Absorption for Resized Bill</t>
  </si>
  <si>
    <t>Total Gallons Losses for Resized Bill</t>
  </si>
  <si>
    <t>Sparge Water for Resized Bill</t>
  </si>
  <si>
    <t>Total Water for Resized Bill</t>
  </si>
  <si>
    <t>Points in First Runnings</t>
  </si>
  <si>
    <t>Points in Resized Strike H20</t>
  </si>
  <si>
    <t>1st Lauter Points</t>
  </si>
  <si>
    <t>Points stuck post 1st Lauter</t>
  </si>
  <si>
    <t>2nd Lauter Points</t>
  </si>
  <si>
    <t>Total Points into Kettle</t>
  </si>
  <si>
    <t>Mash Efficiency Resized Bill</t>
  </si>
  <si>
    <t>Points in Second Runnings</t>
  </si>
  <si>
    <t>Total Points in Kettle</t>
  </si>
  <si>
    <t>Points in Tun before First Runnings</t>
  </si>
  <si>
    <t>Convert Batch to Batch</t>
  </si>
  <si>
    <t>Batch Baseline</t>
  </si>
  <si>
    <t>Convert No Sparge to Sparge</t>
  </si>
  <si>
    <t>Convert Sparge to No Sparge</t>
  </si>
  <si>
    <t>Points per Gallon (total) Resized</t>
  </si>
  <si>
    <t>Points into Kettle</t>
  </si>
  <si>
    <t>Answer</t>
  </si>
  <si>
    <t>Baseline Data From Original Recipe</t>
  </si>
  <si>
    <t>No-Sparge to No-Sparge</t>
  </si>
  <si>
    <t>Sparge to Sparge</t>
  </si>
  <si>
    <t>No-Sparge to Sparge</t>
  </si>
  <si>
    <t>Sparge to No-Sparge</t>
  </si>
  <si>
    <t>Brewcipher doesn't know if the efficiency on the recipe tab was based on a batch sparge or a no-sparge.</t>
  </si>
  <si>
    <t>Tell it here, and whether the simulation should assume sparge or no-sparge for output.</t>
  </si>
  <si>
    <t>The prediction assumes that the mash thickness (water to grain ratio) remains the same.</t>
  </si>
  <si>
    <t>This is the predicted mash efficiency, based on your changes.</t>
  </si>
  <si>
    <t xml:space="preserve">If you get a message about negative sparge water volumes, that’s because in order to </t>
  </si>
  <si>
    <t>That's because changing the mash thickness would also change the efficiency, but data to model this effect isn't available.</t>
  </si>
  <si>
    <t>This is the data from your original recipe.</t>
  </si>
  <si>
    <t>maintain the same mash thickness, there would be too much total water for the recipe.</t>
  </si>
  <si>
    <t>Change the amount of grain here, or type in the same number from the original recipe if no change.</t>
  </si>
  <si>
    <t>Simulated Mash Efficiency with new Grain Weight and/or Sparge/No-Sparge Type Conversion (if applicable):</t>
  </si>
  <si>
    <t>This tab predicts how your mash efficiency would change based on  changing from sparge to no-sparge or vice versa, and/or changing the total grain weight.</t>
  </si>
  <si>
    <t>(12-26-2013, V2.1, added mash efficiency estimator tab.)</t>
  </si>
  <si>
    <t>- Predicts Mash Efficiency based on known Efficiency and change in grain weight and/or sparge to no-sparge or vice versa</t>
  </si>
  <si>
    <t>The purpose is to correct some typical shortcomings that bug me, even at the expense of some comm'l features.</t>
  </si>
  <si>
    <t>Starter Type</t>
  </si>
  <si>
    <t>Yeast Starter Type</t>
  </si>
  <si>
    <t>Yeast Vials/Packs #</t>
  </si>
  <si>
    <t>Packs of Yeast</t>
  </si>
  <si>
    <t>Age of Yeast (days)</t>
  </si>
  <si>
    <t>Original Cells per pack</t>
  </si>
  <si>
    <t>Total Original Cells</t>
  </si>
  <si>
    <t>Remaining Viable Cells</t>
  </si>
  <si>
    <t>Compute Cells Needed</t>
  </si>
  <si>
    <t>Ale Rate cells per ml per deg P</t>
  </si>
  <si>
    <t>Lager Rate cells per ml per deg P</t>
  </si>
  <si>
    <t>Hybrid Rate cells per ml per deg P</t>
  </si>
  <si>
    <t>Yeast Strain is a…</t>
  </si>
  <si>
    <t>Batch Size Gallons</t>
  </si>
  <si>
    <t>Convert to milliliters</t>
  </si>
  <si>
    <t>Post Boil Gravity</t>
  </si>
  <si>
    <t>Convert to Deg P</t>
  </si>
  <si>
    <t>Pitch Rate Needed for this Beer</t>
  </si>
  <si>
    <t>Ratio of Needed to Have</t>
  </si>
  <si>
    <t>M=15.047*(R^-0.448), where R = Innoculation Rate in millions of cells per milliliter and M = Growth Multiplier</t>
  </si>
  <si>
    <t>Single Step Fomulae</t>
  </si>
  <si>
    <t>M=18.0564*(R^-0.448), where R = Innoculation Rate in millions of cells per milliliter and M = Growth Multiplier</t>
  </si>
  <si>
    <t>Innoc Rate for This Starter Type</t>
  </si>
  <si>
    <t>Initial Millions of Cells</t>
  </si>
  <si>
    <t>milliliters of Starter Needed</t>
  </si>
  <si>
    <t>Convert to Quarts Starter Needed</t>
  </si>
  <si>
    <t>Convert to Quarts Step 1</t>
  </si>
  <si>
    <t>Two-Step Formula</t>
  </si>
  <si>
    <t>Step One Achieved Multiplier</t>
  </si>
  <si>
    <t>Step One End Cells</t>
  </si>
  <si>
    <t>Step Two Ratio of Needed to Have</t>
  </si>
  <si>
    <t>Step Two Innoc Rate</t>
  </si>
  <si>
    <t>Initial (interstep) Millions of Cells</t>
  </si>
  <si>
    <t>Step 2 milliliters of Starter Needed</t>
  </si>
  <si>
    <t>Convert to Quarts for Step 2</t>
  </si>
  <si>
    <t>Shaken</t>
  </si>
  <si>
    <t>Stirred</t>
  </si>
  <si>
    <t>Three-Step Formula</t>
  </si>
  <si>
    <t>Convert to Quarts Step 2</t>
  </si>
  <si>
    <t>Step 2 Achieved Multiplier</t>
  </si>
  <si>
    <t>Step 2 End Cells</t>
  </si>
  <si>
    <t>Step 3 Ratio of Needed to Have</t>
  </si>
  <si>
    <t>Step 3 milliliters of Starter Needed</t>
  </si>
  <si>
    <t>Step 3 Innoc Rate</t>
  </si>
  <si>
    <t>Pick:</t>
  </si>
  <si>
    <t>Single Text:</t>
  </si>
  <si>
    <t>Double Text:</t>
  </si>
  <si>
    <t>Triple Text:</t>
  </si>
  <si>
    <t>Text for Recipe Tab:</t>
  </si>
  <si>
    <t>(Ounces DME and grams nutrient)</t>
  </si>
  <si>
    <t xml:space="preserve">Single More Text: </t>
  </si>
  <si>
    <t xml:space="preserve">Double More Text: </t>
  </si>
  <si>
    <t xml:space="preserve">TRiple More Text: </t>
  </si>
  <si>
    <t>More Text for Recipe Tab:</t>
  </si>
  <si>
    <t>Yeast Starter:</t>
  </si>
  <si>
    <t>I want to convert based on...</t>
  </si>
  <si>
    <t>Default Lose 0.7% per day, based on White Lab Statement: After 30 days in the vial, the viability of our yeast is 75-85%</t>
  </si>
  <si>
    <t>Minimum Innoculation Rate for any step in Millions of Cells per milliliter</t>
  </si>
  <si>
    <t>Forced Step Innoculation Rate if Natural Rate would be less than 25, in Miilions of Cells per milliliter</t>
  </si>
  <si>
    <t>milliliters to get Forced Innoc Rate for Step</t>
  </si>
  <si>
    <t>Viability</t>
  </si>
  <si>
    <t>Override Viability</t>
  </si>
  <si>
    <t>Override Viability Percent</t>
  </si>
  <si>
    <t>Age Based Vianility</t>
  </si>
  <si>
    <t>For Dropdown List</t>
  </si>
  <si>
    <t>Lager Pitch Rate (Cells/ml/Degree P)</t>
  </si>
  <si>
    <t>Hybrid Pitch Rate (Cells/ml/Degree P)</t>
  </si>
  <si>
    <t>Yeast Age Death Rate per Day</t>
  </si>
  <si>
    <t>Stir Plate</t>
  </si>
  <si>
    <t>(12-30-2013, V3.0, added Yeast Starter Calculations)</t>
  </si>
  <si>
    <t>VikeMan's Blonde Ale</t>
  </si>
  <si>
    <t>Blonde Ale</t>
  </si>
  <si>
    <t>Prop</t>
  </si>
  <si>
    <t>&lt;---- Rice Hulls (Only)</t>
  </si>
  <si>
    <t xml:space="preserve">Repitch Slurry Density (Billions cells/ml) </t>
  </si>
  <si>
    <t>Slurry Solids Non-Yeast %</t>
  </si>
  <si>
    <t>Days Old</t>
  </si>
  <si>
    <t>ml Slurry</t>
  </si>
  <si>
    <t>ml of slurry</t>
  </si>
  <si>
    <t>Slurry Raw Cell Count</t>
  </si>
  <si>
    <t>Slurry Aged Cell Count</t>
  </si>
  <si>
    <t>For Slurry ml used if no starter needed</t>
  </si>
  <si>
    <t>ml to use</t>
  </si>
  <si>
    <t>Good Cells per ml</t>
  </si>
  <si>
    <t>Slurry Adequate?</t>
  </si>
  <si>
    <t>If Slurry is Adequate, build Text</t>
  </si>
  <si>
    <t>Belgian Blond Ale</t>
  </si>
  <si>
    <t>Belgian Dubbel</t>
  </si>
  <si>
    <t>Cream Ale</t>
  </si>
  <si>
    <t>Doppelbock</t>
  </si>
  <si>
    <t>English Barleywine</t>
  </si>
  <si>
    <t>English IPA</t>
  </si>
  <si>
    <t>Irish Red Ale</t>
  </si>
  <si>
    <t>Kölsch</t>
  </si>
  <si>
    <t>Munich Dunkel</t>
  </si>
  <si>
    <t>Oatmeal Stout</t>
  </si>
  <si>
    <t>Witbier</t>
  </si>
  <si>
    <t>Generic Mid Pale Lager</t>
  </si>
  <si>
    <t>Generic Mid Amber Lager</t>
  </si>
  <si>
    <t>Dortmunder</t>
  </si>
  <si>
    <t>Generic Mid Dark Lager</t>
  </si>
  <si>
    <t>Generic Big Amber Lager</t>
  </si>
  <si>
    <t>Generic Big Dark Lager</t>
  </si>
  <si>
    <t>Generic Small Pale Lager</t>
  </si>
  <si>
    <t>Generic Small Pale Ale</t>
  </si>
  <si>
    <t>Generic Small Amber Ale</t>
  </si>
  <si>
    <t>Generic Small Dark Ale</t>
  </si>
  <si>
    <t>Generic Mid Malty Pale Ale</t>
  </si>
  <si>
    <t>Generic Mid Bitter Pale Ale</t>
  </si>
  <si>
    <t>Generic Mid Amber Ale</t>
  </si>
  <si>
    <t>Generic Mid Dark Ale</t>
  </si>
  <si>
    <t>Generic Big Pale Ale</t>
  </si>
  <si>
    <t>Generic Big Amber Ale</t>
  </si>
  <si>
    <t>Generic Big Dark Ale</t>
  </si>
  <si>
    <t>Smoked Malt, German</t>
  </si>
  <si>
    <t>Smoked Malt, Briess Cherry Wood</t>
  </si>
  <si>
    <t>- Automatically computes Yeast Starter Volumes, including stepped starters.  Supports harvested yeast slurries.</t>
  </si>
  <si>
    <t>target OG</t>
  </si>
  <si>
    <t>2-Row Brewer's Malt, Briess</t>
  </si>
  <si>
    <t>6-Row Brewer's Malt, Briess</t>
  </si>
  <si>
    <t>Pilsen Malt, Briess</t>
  </si>
  <si>
    <t>Pale Ale Malt, Briess</t>
  </si>
  <si>
    <t>Vienna Malt, Briess</t>
  </si>
  <si>
    <t>Other Timed Boil Additions</t>
  </si>
  <si>
    <t>I also used Mattbk's interpretation (slopes) of Kai's mash temp data. Post Boil Hop Addition calcs modeled/extrapolated from the work of Mark G. Malowicki.</t>
  </si>
  <si>
    <t>Source Water pH</t>
  </si>
  <si>
    <t>Sparge Water Acidification</t>
  </si>
  <si>
    <t>- OR -</t>
  </si>
  <si>
    <t>ml Lactic Acid</t>
  </si>
  <si>
    <t>ml Phosphoric Acid</t>
  </si>
  <si>
    <t>Initial Water</t>
  </si>
  <si>
    <t>Reaction Constants</t>
  </si>
  <si>
    <t>Sparge water volume (gal)</t>
  </si>
  <si>
    <t>Carbonate system</t>
  </si>
  <si>
    <t>Bicarbonate concentration (ppm)</t>
  </si>
  <si>
    <t>K1 (mol/L)</t>
  </si>
  <si>
    <t>pK1</t>
  </si>
  <si>
    <t>Bicarbonate concentration (mol/L)</t>
  </si>
  <si>
    <t>K2 (mol/L)</t>
  </si>
  <si>
    <t>pK2</t>
  </si>
  <si>
    <t>pH</t>
  </si>
  <si>
    <t>Lactic Acid</t>
  </si>
  <si>
    <t>Total carbon concentration (mol/L)</t>
  </si>
  <si>
    <t>Phosphoric Acid</t>
  </si>
  <si>
    <t>Carbonate concentration (mol/L)</t>
  </si>
  <si>
    <t>Spectator ion normality (e*mol/L)</t>
  </si>
  <si>
    <t>Final Water</t>
  </si>
  <si>
    <t>This sheet can be used to calculate the amount of acid required to bring water with a certain alkalinity (calculated from  bicarbonate concentration (ppm) and pH) to some final pH, usually chosen to match the mash pH.  The only inputs require on this sheet are initial pH of water and final desired pH; other inputs are taken from previous sheets.  You can also change acid strengths if they are different from those given.  NOTE:  use calculated amount of lactic OR phosphoric acid ,but NOT both.</t>
  </si>
  <si>
    <t>Desired pH</t>
  </si>
  <si>
    <t>Ideal acid concentration required (mol/L)</t>
  </si>
  <si>
    <t>Ideal acid conentration (crude calc.) (mol/L)</t>
  </si>
  <si>
    <t>[HAc] required (ppm)</t>
  </si>
  <si>
    <t>Acid strength (%)</t>
  </si>
  <si>
    <t>Acid density (kg/L)</t>
  </si>
  <si>
    <t>Amount of acid to add (mL)</t>
  </si>
  <si>
    <t>xxxxxxxxxx</t>
  </si>
  <si>
    <t>Desired sparge water pH…</t>
  </si>
  <si>
    <r>
      <t xml:space="preserve">- Calculates </t>
    </r>
    <r>
      <rPr>
        <sz val="16"/>
        <color indexed="17"/>
        <rFont val="Calibri"/>
        <family val="2"/>
      </rPr>
      <t>Mash pH</t>
    </r>
    <r>
      <rPr>
        <sz val="16"/>
        <color indexed="50"/>
        <rFont val="Calibri"/>
        <family val="2"/>
      </rPr>
      <t xml:space="preserve"> </t>
    </r>
    <r>
      <rPr>
        <sz val="16"/>
        <color indexed="8"/>
        <rFont val="Calibri"/>
        <family val="2"/>
      </rPr>
      <t xml:space="preserve">and results of acid and </t>
    </r>
    <r>
      <rPr>
        <sz val="16"/>
        <color indexed="17"/>
        <rFont val="Calibri"/>
        <family val="2"/>
      </rPr>
      <t>Brewing Salt Additions, including Sparge Water acidification</t>
    </r>
  </si>
  <si>
    <t>(1-30-2014, V3.1, added yeast slurry calculations, sparge water acidification, some grains updated, grain bill percentage display added, added generic water profiles, notepad, Other timed boil additions)</t>
  </si>
  <si>
    <t>(traditional) Predicted ABV:</t>
  </si>
  <si>
    <t>(more accurate) Predicted ABV:</t>
  </si>
  <si>
    <t>Recipe ALT ABV</t>
  </si>
  <si>
    <t>Post Boil / Post Fermentation Input</t>
  </si>
  <si>
    <t>Achieved Mash Efficiency:</t>
  </si>
  <si>
    <t>Achieved Apparent Atten:</t>
  </si>
  <si>
    <t>Achieved Traditional ABV:</t>
  </si>
  <si>
    <t>Non-Mash Yield</t>
  </si>
  <si>
    <t>Mash Yield</t>
  </si>
  <si>
    <t>Achieved Improved ABV:</t>
  </si>
  <si>
    <t>Mash or Non-Mash Yield Times Temp and Time Factors</t>
  </si>
  <si>
    <t>AVG Adj Wort Fermentability for Refract calc</t>
  </si>
  <si>
    <t>Wort Parameters</t>
  </si>
  <si>
    <t>Wort Correction Factor</t>
  </si>
  <si>
    <t>Override Wort Correction Factor</t>
  </si>
  <si>
    <t>Recommended WCF</t>
  </si>
  <si>
    <t>Original °Brix</t>
  </si>
  <si>
    <t>Final °Brix</t>
  </si>
  <si>
    <t>Calculated Attenuation and ABV</t>
  </si>
  <si>
    <t>Traditional ABV:</t>
  </si>
  <si>
    <t>More Accurate ABV:</t>
  </si>
  <si>
    <t>Apparent Attenuation:</t>
  </si>
  <si>
    <t xml:space="preserve">This calculator uses models, specifically the Brix to Specific Gravity conversions, developed by Sean Terrill. </t>
  </si>
  <si>
    <t>Changes were made.  Specifically…</t>
  </si>
  <si>
    <t xml:space="preserve">the (recommended) Wort Correction Factor has been adjusted (but used the same way in the conversion formulae) depending on expected attenuability. </t>
  </si>
  <si>
    <t>The portion of Sean Terrill's work used here is distributed here under the same license conditions linked above.</t>
  </si>
  <si>
    <t>http://seanterrill.com/2012/01/06/refractometer-calculator/</t>
  </si>
  <si>
    <t>You can see Sean's original calculator (and links to much more information from Sean about refractometers) here…</t>
  </si>
  <si>
    <t>The use of Sean Terrill's models does not necessarily imply his endorsement of this calculator.</t>
  </si>
  <si>
    <t xml:space="preserve">the apparent attenuation and ABV results use Sean Terrill's specific gravity outputs as inputs, but do not use his original attenuation and ABV formulae. </t>
  </si>
  <si>
    <t>http://creativecommons.org/licenses/by-nc-sa/3.0/us/legalcode</t>
  </si>
  <si>
    <t>Sean Terrill's models are used under license terms viewable here…</t>
  </si>
  <si>
    <t>Hover over fields with the little red triangles in the corners.  There are useful popup comments there.</t>
  </si>
  <si>
    <t>Special thanks to Sean Terrill, for allowing the use of his Refractometer calculations.</t>
  </si>
  <si>
    <t>- Includes an optional, improved ABV calculation</t>
  </si>
  <si>
    <r>
      <t xml:space="preserve">- Converts </t>
    </r>
    <r>
      <rPr>
        <sz val="16"/>
        <color indexed="17"/>
        <rFont val="Calibri"/>
        <family val="2"/>
      </rPr>
      <t>Refractometer</t>
    </r>
    <r>
      <rPr>
        <sz val="16"/>
        <color indexed="8"/>
        <rFont val="Calibri"/>
        <family val="2"/>
      </rPr>
      <t xml:space="preserve"> readings Specific Gravity Values</t>
    </r>
  </si>
  <si>
    <r>
      <t xml:space="preserve">- Inputs for Post Boil/Post Fermentation gravity and volume data, to </t>
    </r>
    <r>
      <rPr>
        <sz val="16"/>
        <color indexed="17"/>
        <rFont val="Calibri"/>
        <family val="2"/>
      </rPr>
      <t xml:space="preserve">compute actual mash efficiency, attenuation, and ABV </t>
    </r>
  </si>
  <si>
    <t>Raw FG</t>
  </si>
  <si>
    <t>Raw AA</t>
  </si>
  <si>
    <t>FG to hit 122% AA</t>
  </si>
  <si>
    <t>the final gravity estimate is constrained to be no lower than the gravity that will equate to 122% apparent attenuation.</t>
  </si>
  <si>
    <t>(3-2-2014, V3.2, added alternative (more accurate) ABV calculation, added post boil/fermentation actual inputs and actual result calcs, added HLT deadspace loss parameters, added Refractometer calculations)</t>
  </si>
  <si>
    <t>Citra</t>
  </si>
  <si>
    <t>Mosaic</t>
  </si>
  <si>
    <t>Measurement System</t>
  </si>
  <si>
    <t>Gallons Hop Water Loss</t>
  </si>
  <si>
    <t>Gross Kettle deadspace Galls if english input</t>
  </si>
  <si>
    <t>Gross Kettle deadspace Galls if metric input</t>
  </si>
  <si>
    <t>Gallons Hose Pump Siphon Deadspace</t>
  </si>
  <si>
    <t>raw batch vol</t>
  </si>
  <si>
    <t>batch vol galls if metric</t>
  </si>
  <si>
    <t>USE batch vol galls</t>
  </si>
  <si>
    <t>Raw Input Temp</t>
  </si>
  <si>
    <t>Temp F if metric input</t>
  </si>
  <si>
    <t>Use Temp F</t>
  </si>
  <si>
    <t>TargetTemp of Mash (F)</t>
  </si>
  <si>
    <t>Recipe Mash Temp (F)</t>
  </si>
  <si>
    <t>Initial Temp of Grain (e.g. 70 deg at room temp) (F)</t>
  </si>
  <si>
    <t>Post Boil Kettle Vol</t>
  </si>
  <si>
    <t>Liter Conv</t>
  </si>
  <si>
    <t>Gram Conv</t>
  </si>
  <si>
    <t>Hulls in Lbs</t>
  </si>
  <si>
    <t>Are Both HLTs the SAME physical unit?</t>
  </si>
  <si>
    <t>Yeast Cells per Fresh Package (Billions)</t>
  </si>
  <si>
    <t xml:space="preserve">- Choice of U.S. standard measurements or Metric </t>
  </si>
  <si>
    <t>Total Points Avil in Grains</t>
  </si>
  <si>
    <t>tot</t>
  </si>
  <si>
    <t>LME, Maris Otter, Maillard Malts</t>
  </si>
  <si>
    <t>LME, Pilsen, Maillard Malts</t>
  </si>
  <si>
    <t>LME, Gold, Maillard Malts</t>
  </si>
  <si>
    <t>LME, Amber, Maillard Malts</t>
  </si>
  <si>
    <t>LME, Dark, Maillard Malts</t>
  </si>
  <si>
    <t>LME, Wheat, Maillard Malts</t>
  </si>
  <si>
    <t>LME, Rye, Maillard Malts</t>
  </si>
  <si>
    <t>LME, Sorghum, Maillard Malts</t>
  </si>
  <si>
    <t>LME, Golden Light</t>
  </si>
  <si>
    <t>DME, Pilsen Light, Briess</t>
  </si>
  <si>
    <t>DME. Golden Light, Briess</t>
  </si>
  <si>
    <t>DME, Sparkling Amber, Briess</t>
  </si>
  <si>
    <t>DME, Traditional Dark, Briess</t>
  </si>
  <si>
    <t>DME, Bavarian Wheat, Briess</t>
  </si>
  <si>
    <t>DME, Extra Light, Muntons</t>
  </si>
  <si>
    <t>DME, Light, Muntons</t>
  </si>
  <si>
    <t>DME, Amber, Muntons</t>
  </si>
  <si>
    <t>DME, Dark, Muntons</t>
  </si>
  <si>
    <t>DME, Wheat, Muntons</t>
  </si>
  <si>
    <t>DME, Extra Dark, Muntons</t>
  </si>
  <si>
    <t>Gravity Measurement System</t>
  </si>
  <si>
    <t>&lt;--Plato</t>
  </si>
  <si>
    <t>SG--&gt;</t>
  </si>
  <si>
    <t>Plato--&gt;</t>
  </si>
  <si>
    <t>OG:</t>
  </si>
  <si>
    <t>OG (P):</t>
  </si>
  <si>
    <t>FG:</t>
  </si>
  <si>
    <t>FG (P):</t>
  </si>
  <si>
    <t>Adjusted for Hop Utilization Brewhouse Multiplier</t>
  </si>
  <si>
    <t>IF BIAB</t>
  </si>
  <si>
    <t>USE</t>
  </si>
  <si>
    <t>Brew-In-A-Bag Indicator</t>
  </si>
  <si>
    <t>- Single infusion batches with single batch sparge, or mashout and lauter, or Brew-In-A-Bag</t>
  </si>
  <si>
    <t>- Choice of Plato or SG gravity measurements</t>
  </si>
  <si>
    <t>- Hop Utilization Multiplier parameter to fine tune hop utilization to your system</t>
  </si>
  <si>
    <t>U.S.</t>
  </si>
  <si>
    <t>Specific Gravity</t>
  </si>
  <si>
    <t>(4-6-2014, V3.3, added some ingredients, added Metric option, Redesigned HLT deadspace parameters, added Plato option, added Hop Utilization Multiplier, enhanced BIAB support)</t>
  </si>
  <si>
    <t>Recipe Name</t>
  </si>
  <si>
    <t>Show Result on Recipe Tab?</t>
  </si>
  <si>
    <r>
      <t>Sparge H</t>
    </r>
    <r>
      <rPr>
        <b/>
        <vertAlign val="subscript"/>
        <sz val="11"/>
        <color indexed="8"/>
        <rFont val="Calibri"/>
        <family val="2"/>
      </rPr>
      <t>2</t>
    </r>
    <r>
      <rPr>
        <b/>
        <sz val="11"/>
        <color indexed="8"/>
        <rFont val="Calibri"/>
        <family val="2"/>
      </rPr>
      <t>0 Acid:</t>
    </r>
  </si>
  <si>
    <t>Mash Salts/Acids:</t>
  </si>
  <si>
    <t>Kettle Salts:</t>
  </si>
  <si>
    <t>Wyeast 1007 - German Ale</t>
  </si>
  <si>
    <t>Wyeast 1010 - American Wheat</t>
  </si>
  <si>
    <t>Wyeast 1028 - London Ale</t>
  </si>
  <si>
    <t>Wyeast 1056 - American Ale</t>
  </si>
  <si>
    <t>Wyeast 1084 - Irish Ale</t>
  </si>
  <si>
    <t>Wyeast 1098 - British Ale</t>
  </si>
  <si>
    <t>Wyeast 1099 - Whitbread Ale</t>
  </si>
  <si>
    <t>Wyeast 1187 - Ringwood Ale</t>
  </si>
  <si>
    <t>Wyeast 1214 - Belgian Abbey</t>
  </si>
  <si>
    <t>Wyeast 1272 - American Ale II</t>
  </si>
  <si>
    <t>Wyeast 1275 - Thames Valley Ale</t>
  </si>
  <si>
    <t>Wyeast 1318 - London Ale III</t>
  </si>
  <si>
    <t>Wyeast 1332 - Northwest Ale</t>
  </si>
  <si>
    <t>Wyeast 1335 - British Ale II</t>
  </si>
  <si>
    <t>Wyeast 1388 - Belgian Strong Ale</t>
  </si>
  <si>
    <t>Wyeast 1450 - Denny's Favorite 50</t>
  </si>
  <si>
    <t>Wyeast 1469 - West Yorkshire Ale</t>
  </si>
  <si>
    <t>Wyeast 1728 - Scottish Ale</t>
  </si>
  <si>
    <t>Wyeast 1762 - Belgian Abbey II</t>
  </si>
  <si>
    <t>Wyeast 1764 - Pacman</t>
  </si>
  <si>
    <t>Wyeast 1968 - London ESB Ale</t>
  </si>
  <si>
    <t>Wyeast 2000 - Budvar Lager</t>
  </si>
  <si>
    <t>Wyeast 2001 - Urquell Lager</t>
  </si>
  <si>
    <t>Wyeast 2007 - Pilsen Lager</t>
  </si>
  <si>
    <t>Wyeast 2035 - American Lager</t>
  </si>
  <si>
    <t>Wyeast 2042 - Danish Lager</t>
  </si>
  <si>
    <t>Wyeast 2112 - California Lager</t>
  </si>
  <si>
    <t>Wyeast 2124 - Bohemian Lager</t>
  </si>
  <si>
    <t>Wyeast 2206 - Bavarian Lager</t>
  </si>
  <si>
    <t>Wyeast 2247 - European Lager</t>
  </si>
  <si>
    <t>Wyeast 2278 - Czech Pils</t>
  </si>
  <si>
    <t>Wyeast 2308 - Munich Lager</t>
  </si>
  <si>
    <t>Wyeast 2352 - Munich Lager II</t>
  </si>
  <si>
    <t>Wyeast 2565 - Kolsch</t>
  </si>
  <si>
    <t>Wyeast 2575 - Kolsch II</t>
  </si>
  <si>
    <t>Wyeast 3068 - Weihenstephan Weizen</t>
  </si>
  <si>
    <t>Wyeast 3333 - German Wheat</t>
  </si>
  <si>
    <t>Wyeast 3463 - Forbidden Fruit</t>
  </si>
  <si>
    <t>Wyeast 3522 - Belgian Ardennes</t>
  </si>
  <si>
    <t>Wyeast 3538 - Leuven Pale Ale</t>
  </si>
  <si>
    <t>Wyeast 3638 - Bavarian Wheat</t>
  </si>
  <si>
    <t>Wyeast 3711 - French Saison</t>
  </si>
  <si>
    <t>Wyeast 3724 - Belgian Saison</t>
  </si>
  <si>
    <t>Wyeast 3725 - Bier de Garde</t>
  </si>
  <si>
    <t>Wyeast 3726 - Farmhouse Ale</t>
  </si>
  <si>
    <t>Wyeast 3787 - Trappist High Gravity</t>
  </si>
  <si>
    <t>Wyeast 3942 - Belgian Wheat</t>
  </si>
  <si>
    <t>Wyeast 3944 - Belgian Witbeer</t>
  </si>
  <si>
    <t>Wyeast 5112 - Brettanomyces brux</t>
  </si>
  <si>
    <t>Wyeast 5526 - Brettanomyces Lambicus</t>
  </si>
  <si>
    <t>WLP001 - California Ale</t>
  </si>
  <si>
    <t>WLP002 - English Ale</t>
  </si>
  <si>
    <t>WLP003 - German Ale II</t>
  </si>
  <si>
    <t>WLP004 - Irish Ale</t>
  </si>
  <si>
    <t>WLP005 - British Ale</t>
  </si>
  <si>
    <t>WLP007 - Dry English Ale</t>
  </si>
  <si>
    <t>WLP013 - London Ale</t>
  </si>
  <si>
    <t>WLP023 - Burton Ale</t>
  </si>
  <si>
    <t>WLP025 - Southwold Ale</t>
  </si>
  <si>
    <t>WLP029 - German Ale/Kolsch</t>
  </si>
  <si>
    <t>WLP036 - Dusseldorf Alt</t>
  </si>
  <si>
    <t>WLP051 - California Ale V</t>
  </si>
  <si>
    <t>WLP300 - Hefeweizen</t>
  </si>
  <si>
    <t>WLP351 - Bavarian Weizen</t>
  </si>
  <si>
    <t>WLP380 - Hefeweizen IV</t>
  </si>
  <si>
    <t>WLP400 - Belgian Wit</t>
  </si>
  <si>
    <t>WLP500 - Trappist Ale</t>
  </si>
  <si>
    <t>WLP530 - Abbey Ale</t>
  </si>
  <si>
    <t>WLP540 - Abbey Ale IV</t>
  </si>
  <si>
    <t>WLP550 - Belgian Strong Ale</t>
  </si>
  <si>
    <t>WLP565 - Belgian Saison I</t>
  </si>
  <si>
    <t>WLP570 - Belgian Golden Ale</t>
  </si>
  <si>
    <t>WLP800 - Pilsner Lager</t>
  </si>
  <si>
    <t>WLP810 - San Francisco Lager</t>
  </si>
  <si>
    <t>WLP820 - Octoberfest/Märzen</t>
  </si>
  <si>
    <t>WLP830 - German Lager</t>
  </si>
  <si>
    <t>WLP838 - S. German Lager</t>
  </si>
  <si>
    <t>WLP840 - American Lager</t>
  </si>
  <si>
    <t>WLP920 - Old Bavarian Lager</t>
  </si>
  <si>
    <t>ECY08 - Saison Brasserie Blend</t>
  </si>
  <si>
    <t>CONVERSION Efficiency</t>
  </si>
  <si>
    <t>Points CONVERTED in Resized Bill (PB + Losses)</t>
  </si>
  <si>
    <t>Profile Name</t>
  </si>
  <si>
    <t>ppm Ca</t>
  </si>
  <si>
    <t>ppm Mg</t>
  </si>
  <si>
    <t>ppm Na</t>
  </si>
  <si>
    <t>ppm Cl</t>
  </si>
  <si>
    <t>below line, user profiles are copied in</t>
  </si>
  <si>
    <r>
      <t>ppm HCO</t>
    </r>
    <r>
      <rPr>
        <b/>
        <vertAlign val="subscript"/>
        <sz val="11"/>
        <color indexed="8"/>
        <rFont val="Calibri"/>
        <family val="2"/>
      </rPr>
      <t>3</t>
    </r>
  </si>
  <si>
    <r>
      <t>ppm SO</t>
    </r>
    <r>
      <rPr>
        <b/>
        <vertAlign val="subscript"/>
        <sz val="11"/>
        <color indexed="8"/>
        <rFont val="Calibri"/>
        <family val="2"/>
      </rPr>
      <t>4</t>
    </r>
  </si>
  <si>
    <t>:1st lauter vol</t>
  </si>
  <si>
    <t>:stuck vol</t>
  </si>
  <si>
    <t>2 l vol:</t>
  </si>
  <si>
    <t>:presparge V</t>
  </si>
  <si>
    <t>(5-13-2014, V3.4, added water tab outputs to Recipe Tab and Print Me tab, added full yeast strain names, added User Water Profile Input, Added Recipe Name)</t>
  </si>
  <si>
    <t>Note: Profiles added to this tab are not recognized in Apache Open Office.</t>
  </si>
  <si>
    <t>Briess Midnight Wheat</t>
  </si>
  <si>
    <t>Pale Ale Malt, Rahr</t>
  </si>
  <si>
    <t>Fawcett Pale Chocolate</t>
  </si>
  <si>
    <t>Strike Water:</t>
  </si>
  <si>
    <t>Mashout (no sparge) Water:</t>
  </si>
  <si>
    <t>Honey Malt</t>
  </si>
  <si>
    <t>Amarillo</t>
  </si>
  <si>
    <t>Motueka, NZ</t>
  </si>
  <si>
    <t>Zythos</t>
  </si>
  <si>
    <t>Bramling Cross</t>
  </si>
  <si>
    <t>El Dorado</t>
  </si>
  <si>
    <t>Falconer's Flight</t>
  </si>
  <si>
    <t>Legacy</t>
  </si>
  <si>
    <t>Pacific Gem, NZ</t>
  </si>
  <si>
    <t>Sorachi Ace</t>
  </si>
  <si>
    <t>Show % of Distilled Water on Recipe and BrewDay Tabs?</t>
  </si>
  <si>
    <t>multiplier</t>
  </si>
  <si>
    <t>Days</t>
  </si>
  <si>
    <t>Temp</t>
  </si>
  <si>
    <t>Location</t>
  </si>
  <si>
    <t>Method</t>
  </si>
  <si>
    <t xml:space="preserve">Show Water Concentration Results and mash pH on BrewDay Tab? </t>
  </si>
  <si>
    <t>Strike Water Result:</t>
  </si>
  <si>
    <t>Sparge Water Result:</t>
  </si>
  <si>
    <t>Overall Water Result:</t>
  </si>
  <si>
    <t>(7-10-2014, V3.41, enhanced water display on Recip tab.  Added ingredients.)</t>
  </si>
  <si>
    <t xml:space="preserve">(7-26-2014, V3.42, added more water tab outputs (optionally) to Recipe Tab and PrintMe Tab, added sour style parameters, added more informational fields to Dry Hop Section. Added BU:GU Ratios) </t>
  </si>
  <si>
    <t>------Misc Info-----</t>
  </si>
  <si>
    <t>Min Step Inoc Rate (millions cells / ml)</t>
  </si>
  <si>
    <t>Force Step Inoc Rate (millions cells /ml)</t>
  </si>
  <si>
    <t>In the third column, A=Ale, L=Lager, H='Hybrid' (e.g. Kolsch, Cali Common)</t>
  </si>
  <si>
    <t xml:space="preserve">(11-9-2014, V3.4.3, added a few ingredients, added some more info to the BrewDay Print Me tab. Published User Guide.) </t>
  </si>
  <si>
    <t>Caramel/Crystal Malt - 45L</t>
  </si>
  <si>
    <t>Pale Malt, Great Western</t>
  </si>
  <si>
    <t>Carafa Special III (525 SRM)</t>
  </si>
  <si>
    <t>Bottle Priming</t>
  </si>
  <si>
    <t>Vols to Use</t>
  </si>
  <si>
    <r>
      <t>Recommended Volumes of CO</t>
    </r>
    <r>
      <rPr>
        <b/>
        <vertAlign val="subscript"/>
        <sz val="11"/>
        <color indexed="8"/>
        <rFont val="Calibri"/>
        <family val="2"/>
      </rPr>
      <t>2</t>
    </r>
  </si>
  <si>
    <r>
      <t>Override Volumes of CO</t>
    </r>
    <r>
      <rPr>
        <b/>
        <vertAlign val="subscript"/>
        <sz val="11"/>
        <color indexed="8"/>
        <rFont val="Calibri"/>
        <family val="2"/>
      </rPr>
      <t>2</t>
    </r>
  </si>
  <si>
    <t>Convert Volumes to g/l</t>
  </si>
  <si>
    <t>Residual Volumes</t>
  </si>
  <si>
    <t>Residual g/l</t>
  </si>
  <si>
    <t>Beer Vol to Use</t>
  </si>
  <si>
    <t>liters</t>
  </si>
  <si>
    <t>Sugar Factor</t>
  </si>
  <si>
    <t>Beer Temp to use</t>
  </si>
  <si>
    <t>Sugar Type</t>
  </si>
  <si>
    <t>F</t>
  </si>
  <si>
    <t>g sugar</t>
  </si>
  <si>
    <t>onces sugar</t>
  </si>
  <si>
    <t>Beer Temp to Use</t>
  </si>
  <si>
    <r>
      <t>CO</t>
    </r>
    <r>
      <rPr>
        <b/>
        <vertAlign val="subscript"/>
        <sz val="11"/>
        <color indexed="8"/>
        <rFont val="Calibri"/>
        <family val="2"/>
      </rPr>
      <t xml:space="preserve">2 </t>
    </r>
    <r>
      <rPr>
        <b/>
        <sz val="11"/>
        <color indexed="8"/>
        <rFont val="Calibri"/>
        <family val="2"/>
      </rPr>
      <t>PSI to Use</t>
    </r>
  </si>
  <si>
    <t>CO2 Vols</t>
  </si>
  <si>
    <t xml:space="preserve">Note: Overcarbonated bottles are dangerous.  Do not carbonate to levels </t>
  </si>
  <si>
    <t>higher than your particular bottles are designed to handle.</t>
  </si>
  <si>
    <r>
      <t>Kegging (forced CO</t>
    </r>
    <r>
      <rPr>
        <b/>
        <vertAlign val="subscript"/>
        <sz val="11"/>
        <color indexed="8"/>
        <rFont val="Calibri"/>
        <family val="2"/>
      </rPr>
      <t>2</t>
    </r>
    <r>
      <rPr>
        <b/>
        <sz val="11"/>
        <color indexed="8"/>
        <rFont val="Calibri"/>
        <family val="2"/>
      </rPr>
      <t>)</t>
    </r>
  </si>
  <si>
    <t>Thermal Properties</t>
  </si>
  <si>
    <t>Brew-In-A-Bag</t>
  </si>
  <si>
    <t>Measurement Systems</t>
  </si>
  <si>
    <t>Yeast Parameters</t>
  </si>
  <si>
    <t>Power Knobs</t>
  </si>
  <si>
    <t>Gallons Boiloff and Cool Evap</t>
  </si>
  <si>
    <t>&lt;---</t>
  </si>
  <si>
    <t>@ pre evap</t>
  </si>
  <si>
    <t>Average Wort Gravity for Hop Util</t>
  </si>
  <si>
    <t>Batch Size Including Losses</t>
  </si>
  <si>
    <t>- Carbonation Calculations</t>
  </si>
  <si>
    <t xml:space="preserve">Note: Do not carbonate to levels for which your keg is not rated. </t>
  </si>
  <si>
    <t xml:space="preserve">Author not responsible for calculation errors or user misuse. </t>
  </si>
  <si>
    <t>Disclaimer: Always confirm sugar weights with a different calculator.</t>
  </si>
  <si>
    <t>Kettle Volume End of Boil (and after cooling)</t>
  </si>
  <si>
    <t>Gallons Cooling Evap</t>
  </si>
  <si>
    <t xml:space="preserve">(12-26-2014, V3.5, added Carbonation Calculations, added Cooling Evaporation loss parameter.) </t>
  </si>
  <si>
    <t>FW Ind</t>
  </si>
  <si>
    <t>FW Bonus Util</t>
  </si>
  <si>
    <t>Potential FW Bonus Util</t>
  </si>
  <si>
    <t>Total FW Bonus:</t>
  </si>
  <si>
    <t>Total Kettle plus Post Boil IBUs, incl FW Bonus</t>
  </si>
  <si>
    <t>leaf</t>
  </si>
  <si>
    <t>Brewhouse Hop Utilization Multiplier</t>
  </si>
  <si>
    <t>Pellet/Leaf Hop Bonus/Penalty Factor</t>
  </si>
  <si>
    <t>Pellet Leaf Bonus Penalty</t>
  </si>
  <si>
    <t>P</t>
  </si>
  <si>
    <t>RAGER</t>
  </si>
  <si>
    <t>% Util Low End</t>
  </si>
  <si>
    <t>% Util High End too</t>
  </si>
  <si>
    <t>GA Check</t>
  </si>
  <si>
    <t>GA</t>
  </si>
  <si>
    <t>Rager IBU</t>
  </si>
  <si>
    <t>TINSETH</t>
  </si>
  <si>
    <t>Total Kettle IBUs (raw Rager total)</t>
  </si>
  <si>
    <t>MOD RAGER</t>
  </si>
  <si>
    <t>MOD RAGER CONT.</t>
  </si>
  <si>
    <t>ADD LEAF PENALTY</t>
  </si>
  <si>
    <t>IBU Model</t>
  </si>
  <si>
    <t>IBU Models</t>
  </si>
  <si>
    <t>BU/GU Ratio:</t>
  </si>
  <si>
    <t>Modified BU/GU Ratio:</t>
  </si>
  <si>
    <t>---Other Timed Boil Additions---</t>
  </si>
  <si>
    <r>
      <t>- Incorporates</t>
    </r>
    <r>
      <rPr>
        <sz val="16"/>
        <color indexed="17"/>
        <rFont val="Calibri"/>
        <family val="2"/>
      </rPr>
      <t xml:space="preserve"> optional </t>
    </r>
    <r>
      <rPr>
        <sz val="16"/>
        <color indexed="8"/>
        <rFont val="Calibri"/>
        <family val="2"/>
      </rPr>
      <t>Modified Tinseth and Rager Formulas…</t>
    </r>
  </si>
  <si>
    <t>- Splices new utilization curve to Tinseth and Rager curves above 65 IBUs, to more closely agree with actual vs theoretical IBUs measured</t>
  </si>
  <si>
    <t>- First Wort Hopping</t>
  </si>
  <si>
    <t>- User adjustable Pellet/Leaf Hop Bonuses/Penalties</t>
  </si>
  <si>
    <t>This is the Brewhouse Parameters Page.  These values will generally be set either once, or infrequently at most.  Mouse-Over for descriptions.  For individual batch data, use the RECIPE tab.  In general, all blue cells in this workbook are updatable. The ' lookup' tabs can be used to add ingredients to the available ingredients.</t>
  </si>
  <si>
    <t xml:space="preserve">You can add grains to any of the blue rows. </t>
  </si>
  <si>
    <t xml:space="preserve">sort the rows that have blue cells. </t>
  </si>
  <si>
    <t xml:space="preserve">Suggestion: Add your grains in a different color font to make it easier to copy them into later versions of the spreadsheet when released. </t>
  </si>
  <si>
    <t xml:space="preserve">Suggestion: Add your hops in a different color font to make it easier to copy them into later versions of the spreadsheet when released. </t>
  </si>
  <si>
    <t xml:space="preserve">You can add yeast strains to any of the blue rows. </t>
  </si>
  <si>
    <t xml:space="preserve">You can add hops to any of the blue rows. </t>
  </si>
  <si>
    <t xml:space="preserve">(2-23-2015, V3.6, added informational pre and post boil volume displays to recipe tab gravity rows, added First Wort Hopping support, added user adjustable pellet/leaf hop bonus/penalty factor, added Rager bitterness formula option, added Non-hop boil addition display to BrewDay Print Me sheet, chnaged imput cells to blue.) </t>
  </si>
  <si>
    <t>Weight0:</t>
  </si>
  <si>
    <t>Vol0:</t>
  </si>
  <si>
    <t>IBUs0:</t>
  </si>
  <si>
    <t>Target:</t>
  </si>
  <si>
    <t>Weight0/Vol0:</t>
  </si>
  <si>
    <t>Multiplier0:</t>
  </si>
  <si>
    <t>WeightedAvgHopAbsorp:</t>
  </si>
  <si>
    <t>Scale1Weight:</t>
  </si>
  <si>
    <t>Weight1/Vol0:</t>
  </si>
  <si>
    <t>DeltaWeight1:</t>
  </si>
  <si>
    <t>Weight2:</t>
  </si>
  <si>
    <t>---------------------------------------Boil hop Scale Macro Setup-------------</t>
  </si>
  <si>
    <t>Total:</t>
  </si>
  <si>
    <t>Final Mult:</t>
  </si>
  <si>
    <t>WeightToAddForWeight2:</t>
  </si>
  <si>
    <t>Orig Weight</t>
  </si>
  <si>
    <t>AddedForVol1:</t>
  </si>
  <si>
    <t>Vol1:</t>
  </si>
  <si>
    <t>AddedforVol2:</t>
  </si>
  <si>
    <t>Vol2:</t>
  </si>
  <si>
    <t>Weight2/Vol1</t>
  </si>
  <si>
    <t>WeightToAddForWeight3:</t>
  </si>
  <si>
    <t>Weight3:</t>
  </si>
  <si>
    <t>New Weight</t>
  </si>
  <si>
    <t>AddedforVol3:</t>
  </si>
  <si>
    <t>Vol3:</t>
  </si>
  <si>
    <t>Weight3/Vol2</t>
  </si>
  <si>
    <t>WeightToAddForWeight4:</t>
  </si>
  <si>
    <t>Weight4:</t>
  </si>
  <si>
    <t>AddedforVol4:</t>
  </si>
  <si>
    <t>Vol4:</t>
  </si>
  <si>
    <t>Weight4/Vol3</t>
  </si>
  <si>
    <t>WeightToAddForWeight5:</t>
  </si>
  <si>
    <t>Weight5:</t>
  </si>
  <si>
    <t>Target Standard Model IBUs:</t>
  </si>
  <si>
    <t>---------------------------------------Post Boil hop Scale Macro Setup-------------</t>
  </si>
  <si>
    <t>Target Post-Boil contribution to Modified IBUs:</t>
  </si>
  <si>
    <t>Tinseth</t>
  </si>
  <si>
    <t>boil hop loss</t>
  </si>
  <si>
    <t>post boil hop loss</t>
  </si>
  <si>
    <t>check total</t>
  </si>
  <si>
    <t>Chocolate (MFB, 340 SRM)</t>
  </si>
  <si>
    <t>British Dark Crystal 75/85L</t>
  </si>
  <si>
    <t>Carastan 30/37</t>
  </si>
  <si>
    <t>Asian Dark Sugar Blocks</t>
  </si>
  <si>
    <t>Pale Malt, Gambrinus</t>
  </si>
  <si>
    <t>Meridian</t>
  </si>
  <si>
    <t>WLP644 - Brett Brux var Trois</t>
  </si>
  <si>
    <t>BKY0C3 - Cantillon Iris 07 Brett B 3</t>
  </si>
  <si>
    <t>EOS01 - Carol House Blend</t>
  </si>
  <si>
    <t>EOS02 - ECY24 nanus + JY87 Chateux</t>
  </si>
  <si>
    <t>EOS03 - ECY24 nanus + EOS01 Carol</t>
  </si>
  <si>
    <t xml:space="preserve">(3-22-2015, V3.7, added boil hop scaling macro, added flameout hop scaling macro, added combo scaling macro.) </t>
  </si>
  <si>
    <r>
      <t xml:space="preserve">- </t>
    </r>
    <r>
      <rPr>
        <sz val="16"/>
        <color indexed="17"/>
        <rFont val="Calibri"/>
        <family val="2"/>
      </rPr>
      <t>Scales Hop Bills</t>
    </r>
    <r>
      <rPr>
        <sz val="16"/>
        <color indexed="8"/>
        <rFont val="Calibri"/>
        <family val="2"/>
      </rPr>
      <t xml:space="preserve"> to any desired IBUs</t>
    </r>
  </si>
  <si>
    <t>Wyeast 5151 - Brett Claussenii</t>
  </si>
  <si>
    <r>
      <t xml:space="preserve">These are the approximate Factors, most derived from Greg Doss' work. </t>
    </r>
    <r>
      <rPr>
        <sz val="10"/>
        <color indexed="10"/>
        <rFont val="Arial"/>
        <family val="2"/>
      </rPr>
      <t>They will not necessarily match anything in the strain's published range.</t>
    </r>
  </si>
  <si>
    <t xml:space="preserve"> --Input --</t>
  </si>
  <si>
    <t>Use Temp</t>
  </si>
  <si>
    <t>F Temp if Metric input</t>
  </si>
  <si>
    <t>SG Grav if Plato input</t>
  </si>
  <si>
    <t>Use Grav</t>
  </si>
  <si>
    <t>Corrected Grav in SG</t>
  </si>
  <si>
    <t>Corrected Grav in Plato</t>
  </si>
  <si>
    <t>Plato?</t>
  </si>
  <si>
    <t>Raw Wheat</t>
  </si>
  <si>
    <t>08-American Amber Ale</t>
  </si>
  <si>
    <t>08-American Barleywine</t>
  </si>
  <si>
    <t>08-American Brown Ale</t>
  </si>
  <si>
    <t>08-American IPA</t>
  </si>
  <si>
    <t>08-American Pale Ale</t>
  </si>
  <si>
    <t>08-American Stout</t>
  </si>
  <si>
    <t>08-American Wheat or Rye Beer</t>
  </si>
  <si>
    <t>08-Baltic Porter</t>
  </si>
  <si>
    <t>08-Belgian Blond Ale</t>
  </si>
  <si>
    <t>08-Belgian Dark Strong Ale</t>
  </si>
  <si>
    <t>08-Belgian Dubbel</t>
  </si>
  <si>
    <t>08-Belgian Golden Strong Ale</t>
  </si>
  <si>
    <t>08-Belgian Pale Ale</t>
  </si>
  <si>
    <t>08-Belgian Tripel</t>
  </si>
  <si>
    <t>08-Berliner Weiss</t>
  </si>
  <si>
    <t>08-Bière de Garde</t>
  </si>
  <si>
    <t>08-Blonde Ale</t>
  </si>
  <si>
    <t>08-Bohemian Pilsener</t>
  </si>
  <si>
    <t>08-Brown Porter</t>
  </si>
  <si>
    <t>08-California Common Beer</t>
  </si>
  <si>
    <t>08-Classic American Pilsner</t>
  </si>
  <si>
    <t>08-Classic Rauchbier</t>
  </si>
  <si>
    <t>08-Cream Ale</t>
  </si>
  <si>
    <t>08-Dark American Lager</t>
  </si>
  <si>
    <t>08-Doppelbock</t>
  </si>
  <si>
    <t>08-Dortmunder Export</t>
  </si>
  <si>
    <t>08-Dry Stout</t>
  </si>
  <si>
    <t>08-Düsseldorf Altbier</t>
  </si>
  <si>
    <t>08-Dunkelweizen</t>
  </si>
  <si>
    <t>08-English Barleywine</t>
  </si>
  <si>
    <t>08-English IPA</t>
  </si>
  <si>
    <t>08-Extra Special/Strong Bitter (English Pale Ale)</t>
  </si>
  <si>
    <t>08-Flanders Brown Ale/Oud Bruin</t>
  </si>
  <si>
    <t>08-Flanders Red Ale</t>
  </si>
  <si>
    <t>08-Foreign Extra Stout</t>
  </si>
  <si>
    <t xml:space="preserve">08-Fruit Lambic </t>
  </si>
  <si>
    <t>08-German Pilsner (Pils)</t>
  </si>
  <si>
    <t>08-Gueuze</t>
  </si>
  <si>
    <t>08-Imperial IPA</t>
  </si>
  <si>
    <t>08-Irish Red Ale</t>
  </si>
  <si>
    <t>08-Kölsch</t>
  </si>
  <si>
    <t>08-Lite American Lager</t>
  </si>
  <si>
    <t>08-Maibock/Helles Bock</t>
  </si>
  <si>
    <t>08-Mild</t>
  </si>
  <si>
    <t>08-Munich Dunkel</t>
  </si>
  <si>
    <t>08-Munich Helles</t>
  </si>
  <si>
    <t>08-Northern English Brown</t>
  </si>
  <si>
    <t>08-Northern German Altbier</t>
  </si>
  <si>
    <t>08-Oatmeal Stout</t>
  </si>
  <si>
    <t>08-Oktoberfest</t>
  </si>
  <si>
    <t>08-Old Ale</t>
  </si>
  <si>
    <t>08-Premium American Lager</t>
  </si>
  <si>
    <t>08-Robust Porter</t>
  </si>
  <si>
    <t>08-Roggenbier (German Rye Beer)</t>
  </si>
  <si>
    <t>08-Russian Imperial Stout</t>
  </si>
  <si>
    <t>08-Saison</t>
  </si>
  <si>
    <t>08-Schwarzbier (Black Beer)</t>
  </si>
  <si>
    <t>08-Scottish Export 80/-</t>
  </si>
  <si>
    <t>08-Scottish Heavy 70/-</t>
  </si>
  <si>
    <t>08-Scottish Light 60/-</t>
  </si>
  <si>
    <t>08-Southern English Brown</t>
  </si>
  <si>
    <t>08-Special/Best/Premium Bitter</t>
  </si>
  <si>
    <t>08-Standard American Lager</t>
  </si>
  <si>
    <t>08-Standard/Ordinary Bitter</t>
  </si>
  <si>
    <t>08-Straight (Unblended) Lambic</t>
  </si>
  <si>
    <t>08-Strong Scotch Ale</t>
  </si>
  <si>
    <t>08-Sweet Stout</t>
  </si>
  <si>
    <t>08-Traditional Bock</t>
  </si>
  <si>
    <t>08-Vienna Lager</t>
  </si>
  <si>
    <t>08-Weizen/Weissbier</t>
  </si>
  <si>
    <t>08-Weizenbock</t>
  </si>
  <si>
    <t>08-Witbier</t>
  </si>
  <si>
    <t>American Light Lager</t>
  </si>
  <si>
    <t>American Lager</t>
  </si>
  <si>
    <t>American Wheat Beer</t>
  </si>
  <si>
    <t>International Pale Lager</t>
  </si>
  <si>
    <t>International Amber Lager</t>
  </si>
  <si>
    <t>International Dark Lager</t>
  </si>
  <si>
    <t>Czech Pale Lager</t>
  </si>
  <si>
    <t>Czech Premium Pale Lager</t>
  </si>
  <si>
    <t>Czech Amber Lager</t>
  </si>
  <si>
    <t>Czech Dark Lager</t>
  </si>
  <si>
    <t>Festbier</t>
  </si>
  <si>
    <t>Helles Bock</t>
  </si>
  <si>
    <t>German Leichtbier</t>
  </si>
  <si>
    <t>German Helles Exportbier</t>
  </si>
  <si>
    <t>Märzen</t>
  </si>
  <si>
    <t>Rauchbier</t>
  </si>
  <si>
    <t>Dunkles Bock</t>
  </si>
  <si>
    <t>Altbier</t>
  </si>
  <si>
    <t>Kellerbier (Pale)</t>
  </si>
  <si>
    <t>Kellerbier (Amber)</t>
  </si>
  <si>
    <t>Schwarzbier</t>
  </si>
  <si>
    <t>Eisbock</t>
  </si>
  <si>
    <t>Weissbier</t>
  </si>
  <si>
    <t>Dunkles Weissbier</t>
  </si>
  <si>
    <t>Ordinary Bitter</t>
  </si>
  <si>
    <t>Best Bitter</t>
  </si>
  <si>
    <t>Strong Bitter</t>
  </si>
  <si>
    <t>British Golden Ale</t>
  </si>
  <si>
    <t>Australian Sparkling Ale</t>
  </si>
  <si>
    <t>Dark Mild</t>
  </si>
  <si>
    <t>British Brown Ale</t>
  </si>
  <si>
    <t>English Porter</t>
  </si>
  <si>
    <t>Scottish Light</t>
  </si>
  <si>
    <t>Scottish Heavy</t>
  </si>
  <si>
    <t>Scottish Export</t>
  </si>
  <si>
    <t>Irish Stout</t>
  </si>
  <si>
    <t>Irish Extra Stout</t>
  </si>
  <si>
    <t>Tropical Stout</t>
  </si>
  <si>
    <t>British Strong Ale</t>
  </si>
  <si>
    <t>Wee Heavy</t>
  </si>
  <si>
    <t>California Common</t>
  </si>
  <si>
    <t>American Porter</t>
  </si>
  <si>
    <t>Imperial Stout</t>
  </si>
  <si>
    <t>Belgian IPA</t>
  </si>
  <si>
    <t>Black IPA</t>
  </si>
  <si>
    <t>Brown IPA</t>
  </si>
  <si>
    <t>Red IPA</t>
  </si>
  <si>
    <t>Rye IPA</t>
  </si>
  <si>
    <t>White IPA</t>
  </si>
  <si>
    <t>Double IPA</t>
  </si>
  <si>
    <t>American Strong Ale</t>
  </si>
  <si>
    <t>Wheatwine</t>
  </si>
  <si>
    <t>Berliner Weisse</t>
  </si>
  <si>
    <t>Flanders Red Ale</t>
  </si>
  <si>
    <t>Oud Bruin</t>
  </si>
  <si>
    <t>Lambic</t>
  </si>
  <si>
    <t>Gueuze</t>
  </si>
  <si>
    <t>Fruit Lambic</t>
  </si>
  <si>
    <t>Saison (Pale, Table)</t>
  </si>
  <si>
    <t>Saison (Dark, Table)</t>
  </si>
  <si>
    <t>Saison (Pale, Standard)</t>
  </si>
  <si>
    <t>Saison (Dark, Standard)</t>
  </si>
  <si>
    <t>Saison (Pale, Super)</t>
  </si>
  <si>
    <t>Saison (Dark, Super)</t>
  </si>
  <si>
    <t>Trappist Single</t>
  </si>
  <si>
    <t>Gose</t>
  </si>
  <si>
    <t>Kentucky Common</t>
  </si>
  <si>
    <t>Lichtenhainer</t>
  </si>
  <si>
    <t>London Brown Ale</t>
  </si>
  <si>
    <t>Piwo Grodziskie</t>
  </si>
  <si>
    <t>Pre-Prohibition Lager</t>
  </si>
  <si>
    <t>Pre-Prohibition Porter</t>
  </si>
  <si>
    <t>Roggenbier</t>
  </si>
  <si>
    <t>Sahti</t>
  </si>
  <si>
    <t>VikeMan's Berliner</t>
  </si>
  <si>
    <t>- Hydrometer Specify Gravity Temperature Correction</t>
  </si>
  <si>
    <t xml:space="preserve">(5-20-2015, V4.0, added BJCP 2015 Style Guidelines, added SG Correction Tab (hydrometer temperture corrections))  </t>
  </si>
  <si>
    <r>
      <t xml:space="preserve">- Highlights any Gravities, ABVs, IBUs, and SRMs that are not within </t>
    </r>
    <r>
      <rPr>
        <sz val="16"/>
        <color indexed="17"/>
        <rFont val="Calibri"/>
        <family val="2"/>
      </rPr>
      <t xml:space="preserve">BJCP style guidelines, </t>
    </r>
    <r>
      <rPr>
        <sz val="16"/>
        <color indexed="8"/>
        <rFont val="Calibri"/>
        <family val="2"/>
      </rPr>
      <t>for 2008 and 2015 guidelines</t>
    </r>
  </si>
  <si>
    <t>Pack/Vials Needed if no starter</t>
  </si>
  <si>
    <t>Viable cells per vial/pack</t>
  </si>
  <si>
    <t>If No Starter, use</t>
  </si>
  <si>
    <t>WLP006 - Bedford British Ale</t>
  </si>
  <si>
    <t>WLP008 - East Coast Ale</t>
  </si>
  <si>
    <t>WLP009 - Australian Ale</t>
  </si>
  <si>
    <t>WLP028 - Edinburgh Scottish Ale</t>
  </si>
  <si>
    <t>WLP320 - American Hefeweizen</t>
  </si>
  <si>
    <t>WLP410 - Belgian Wit II</t>
  </si>
  <si>
    <t>WLP039 - East Midlands Ale</t>
  </si>
  <si>
    <t>Coopers Ale (Dry)</t>
  </si>
  <si>
    <t>Danstar Munich (Dry)</t>
  </si>
  <si>
    <t>Danstar Nottingham (Dry)</t>
  </si>
  <si>
    <t>Danstar Windsor (Dry)</t>
  </si>
  <si>
    <t>Muntons Ale (Dry)</t>
  </si>
  <si>
    <t>Safale US-05 (Dry)</t>
  </si>
  <si>
    <t>Safale S-04 (Dry)</t>
  </si>
  <si>
    <t>Safbew T-58 (Dry)</t>
  </si>
  <si>
    <t>Safbrew S-33 (Dry)</t>
  </si>
  <si>
    <t>Safbrew WB-06 (Dry)</t>
  </si>
  <si>
    <t>Saflager S-23 (Dry)</t>
  </si>
  <si>
    <t>Saflager W-34/70 (Dry)</t>
  </si>
  <si>
    <t xml:space="preserve">(6-22-2015, V4.1, added explicit "packs/vials if no starter" to yeast starter display, added pre-boil OG to BrewDay Print Me page, added some yeast strains)  </t>
  </si>
  <si>
    <t>Calc Cap Needed</t>
  </si>
  <si>
    <t>Grains Lbs, Incl Hulls</t>
  </si>
  <si>
    <t>Volumes and Volume Losses</t>
  </si>
  <si>
    <t>MashTun Capacity in Gallons</t>
  </si>
  <si>
    <t>Warning</t>
  </si>
  <si>
    <r>
      <t>pH Type (</t>
    </r>
    <r>
      <rPr>
        <b/>
        <sz val="12"/>
        <rFont val="Arial"/>
        <family val="2"/>
      </rPr>
      <t>B</t>
    </r>
    <r>
      <rPr>
        <sz val="10"/>
        <rFont val="Arial"/>
        <family val="2"/>
      </rPr>
      <t xml:space="preserve">ase, </t>
    </r>
    <r>
      <rPr>
        <b/>
        <sz val="12"/>
        <rFont val="Arial"/>
        <family val="2"/>
      </rPr>
      <t>W</t>
    </r>
    <r>
      <rPr>
        <sz val="10"/>
        <rFont val="Arial"/>
        <family val="2"/>
      </rPr>
      <t xml:space="preserve">heat, </t>
    </r>
    <r>
      <rPr>
        <b/>
        <sz val="12"/>
        <rFont val="Arial"/>
        <family val="2"/>
      </rPr>
      <t>C</t>
    </r>
    <r>
      <rPr>
        <sz val="10"/>
        <rFont val="Arial"/>
        <family val="2"/>
      </rPr>
      <t xml:space="preserve">rystal, </t>
    </r>
    <r>
      <rPr>
        <b/>
        <sz val="12"/>
        <rFont val="Arial"/>
        <family val="2"/>
      </rPr>
      <t>R</t>
    </r>
    <r>
      <rPr>
        <sz val="10"/>
        <rFont val="Arial"/>
        <family val="2"/>
      </rPr>
      <t xml:space="preserve">oasted, or </t>
    </r>
    <r>
      <rPr>
        <b/>
        <sz val="12"/>
        <rFont val="Arial"/>
        <family val="2"/>
      </rPr>
      <t>0</t>
    </r>
    <r>
      <rPr>
        <sz val="10"/>
        <rFont val="Arial"/>
        <family val="2"/>
      </rPr>
      <t xml:space="preserve"> for non mashable ingredients)</t>
    </r>
  </si>
  <si>
    <t>Dissolved Gallons per Pound for non mashed/non steeped ingredients</t>
  </si>
  <si>
    <t>Non-Mashed Ingredients Volume</t>
  </si>
  <si>
    <t>Weight</t>
  </si>
  <si>
    <t>Gals/Lb</t>
  </si>
  <si>
    <t>Volume</t>
  </si>
  <si>
    <t>Total Non-Mashed Ingredient dissolved volume</t>
  </si>
  <si>
    <t>row 200, the recipe tab's grain dropdowns won't</t>
  </si>
  <si>
    <t>Factor</t>
  </si>
  <si>
    <t>If you enter information before row 2 or after row 120,</t>
  </si>
  <si>
    <t>NA</t>
  </si>
  <si>
    <t>Pearl (barley) Malt</t>
  </si>
  <si>
    <t>Water into Kettle Plus Non-Mashed Ingredient Contribution to Volume</t>
  </si>
  <si>
    <t>(9-1-2015, V4.2, added Mash Tun Capacity Parameter &amp; Overload Warning. Adjusted H20 volumes to account for non-mashed ingredient volumes)</t>
  </si>
  <si>
    <t>Qrange</t>
  </si>
  <si>
    <t>Y</t>
  </si>
  <si>
    <t>Mrange</t>
  </si>
  <si>
    <t>Metric</t>
  </si>
  <si>
    <t>Grange</t>
  </si>
  <si>
    <t>Plato</t>
  </si>
  <si>
    <t>Yrange</t>
  </si>
  <si>
    <t>Periodic Shaking</t>
  </si>
  <si>
    <t>Irange</t>
  </si>
  <si>
    <t>Rager</t>
  </si>
  <si>
    <t>Hrange</t>
  </si>
  <si>
    <t>Lrange</t>
  </si>
  <si>
    <t>Primary</t>
  </si>
  <si>
    <t>Secondary</t>
  </si>
  <si>
    <t>Keg</t>
  </si>
  <si>
    <t>Other</t>
  </si>
  <si>
    <t>Drange</t>
  </si>
  <si>
    <t>Hop Bag</t>
  </si>
  <si>
    <t>Tea Ball</t>
  </si>
  <si>
    <t>Commando</t>
  </si>
  <si>
    <t>Srange</t>
  </si>
  <si>
    <t>Table Sugar (Sucrose)</t>
  </si>
  <si>
    <t>Corn Sugar (monohydrate Glucose)</t>
  </si>
  <si>
    <t>Dry Malt Extract</t>
  </si>
  <si>
    <t>White Wheat Malt, Great Western</t>
  </si>
  <si>
    <t>British Crystal Malt - 15L</t>
  </si>
  <si>
    <t>Fawcett Dark Crystal Malt - 85L</t>
  </si>
  <si>
    <t>Simpsons Dark Crystal Malt - 70-80L</t>
  </si>
  <si>
    <t>Bairds Light Carastan - 13-17L</t>
  </si>
  <si>
    <t>Lemon Drop</t>
  </si>
  <si>
    <t>Azzaca</t>
  </si>
  <si>
    <t>HBC-438</t>
  </si>
  <si>
    <t>Herkules</t>
  </si>
  <si>
    <t>Calypso</t>
  </si>
  <si>
    <t>Jarrylo</t>
  </si>
  <si>
    <t>Waimea</t>
  </si>
  <si>
    <t xml:space="preserve">Equinox (HBC 366) </t>
  </si>
  <si>
    <t>Palisade</t>
  </si>
  <si>
    <t>Magnum, US</t>
  </si>
  <si>
    <t>Fuggle, US</t>
  </si>
  <si>
    <t>Fuggle, UK</t>
  </si>
  <si>
    <t>Perle, US</t>
  </si>
  <si>
    <t>Opal, GR</t>
  </si>
  <si>
    <t>Admiral</t>
  </si>
  <si>
    <t>Hull Melon</t>
  </si>
  <si>
    <t>Polaris</t>
  </si>
  <si>
    <t>Topaz</t>
  </si>
  <si>
    <t>Wakatu</t>
  </si>
  <si>
    <t>Galaxy</t>
  </si>
  <si>
    <t>Apollo</t>
  </si>
  <si>
    <t>Falconer's Flight 7Cs</t>
  </si>
  <si>
    <t>Whitbread Goldings</t>
  </si>
  <si>
    <t>Northdown</t>
  </si>
  <si>
    <t>Tradition</t>
  </si>
  <si>
    <t>Progress</t>
  </si>
  <si>
    <t>First Gold</t>
  </si>
  <si>
    <t>Santium</t>
  </si>
  <si>
    <t>Styrian Aurora</t>
  </si>
  <si>
    <t>Newport</t>
  </si>
  <si>
    <t>Strisselspalt</t>
  </si>
  <si>
    <t>Goldings, US</t>
  </si>
  <si>
    <t>Vanguard</t>
  </si>
  <si>
    <t>(10-4-2015, V4.2.2, changed all dropdowns to source from named ranges (vice delimited lists) to ensure compatibility with Gnumeric. Added some ingredients.)</t>
  </si>
  <si>
    <t>Strike</t>
  </si>
  <si>
    <t>Sparge</t>
  </si>
  <si>
    <t>Mashout</t>
  </si>
  <si>
    <t>If you enter information before row 3 or after</t>
  </si>
  <si>
    <t>WLP575 - Belgian Style Ale Yeast Blend</t>
  </si>
  <si>
    <t>Best Malz Red X</t>
  </si>
  <si>
    <t>Munich, Schill (9 srm)</t>
  </si>
  <si>
    <t>Beer Line Type</t>
  </si>
  <si>
    <t>3/16" I.D. plastic beer line</t>
  </si>
  <si>
    <t>1/4" I.D. plastic beer line</t>
  </si>
  <si>
    <t>5/16" I.D. plastic beer line</t>
  </si>
  <si>
    <t>3/8" I.D. plastic beer line</t>
  </si>
  <si>
    <t>1/2" I.D. plastic beer line</t>
  </si>
  <si>
    <t>1/4" O.D. Stainless Beverage Tubing</t>
  </si>
  <si>
    <t>5/16" O.D. Stainless Beverage Tubing</t>
  </si>
  <si>
    <t>3/8" O.D. Stainless Beverage Tubing</t>
  </si>
  <si>
    <t>Base Resist</t>
  </si>
  <si>
    <t>mod resist</t>
  </si>
  <si>
    <t>`</t>
  </si>
  <si>
    <t>length in ft</t>
  </si>
  <si>
    <t>height in feet</t>
  </si>
  <si>
    <t>length in M</t>
  </si>
  <si>
    <t>Ale Yeast Pitch Rate (Cells/ml/Degree P)</t>
  </si>
  <si>
    <t>Copyright 2013, 2014, 2015, 2016 by VikeMan</t>
  </si>
  <si>
    <t>(1-3-2016, V4.2.3, extended Mash Tun Capacity calcs to include mashout/sparge, added kegging beer line length calculation, added some ingredients.)</t>
  </si>
  <si>
    <r>
      <t xml:space="preserve">BrewCipher, Version 4.2.3, </t>
    </r>
    <r>
      <rPr>
        <sz val="16"/>
        <color indexed="8"/>
        <rFont val="Calibri"/>
        <family val="2"/>
      </rPr>
      <t xml:space="preserve"> 1-3-2016</t>
    </r>
  </si>
  <si>
    <t>- Mash Tun Overload Warnings</t>
  </si>
  <si>
    <t>- Kegging Beer Line Length calculations</t>
  </si>
  <si>
    <t>Beer Line Length Calculator based on formula by DrewF</t>
  </si>
  <si>
    <t>Special thanks to DrewF, for the Kegging Beer Line Length Formula.</t>
  </si>
  <si>
    <t>Keg Line Resistance Multiplier</t>
  </si>
  <si>
    <t>Juicy Bits</t>
  </si>
  <si>
    <t>Ft Collins source</t>
  </si>
  <si>
    <t>Neue altbier</t>
  </si>
  <si>
    <t>Boiled Dublin Water Profile (Zymurgy Nov/Dec 2013)</t>
  </si>
  <si>
    <t>Burton Pale Ale Profile (Zymurgy Jan/Feb 2014)</t>
  </si>
  <si>
    <t>Recommended Bavarian Water Profile (Zymurgy Mar/Apr 2014)</t>
  </si>
  <si>
    <t>Suggested London Pale Ale Profile (Zymurgy May/Jun 2014)</t>
  </si>
  <si>
    <t>Munich Helles / Pils, Weissbier Hell, Koelsch (Very Soft Water)</t>
  </si>
  <si>
    <t>Munich Helles and Weissbier (light and amber) (Weihenstephan School Water)</t>
  </si>
  <si>
    <t>German or American Pils (Pilsner Water)</t>
  </si>
  <si>
    <t>Dark German Lagers, Bocks (Moderately Alkaline Water)</t>
  </si>
  <si>
    <t>Lite/Standard Am. Lager, Munich Helles, Bohemian Pils</t>
  </si>
  <si>
    <t>Am. Premium, German Pils, CAP, Dortmunder Export</t>
  </si>
  <si>
    <t>American Dark, Munich Dunkel, Schwarzbier</t>
  </si>
  <si>
    <t>Helles/Maibock, Bock, Doppelbock</t>
  </si>
  <si>
    <t>Bock, Doppelbock, Eisbock, Baltic Porter</t>
  </si>
  <si>
    <t>Blonde, Am. Wheat, Bitter, Best Bitter</t>
  </si>
  <si>
    <t>Mild, Scottish 60/70/80, Bitter, Best Bitter</t>
  </si>
  <si>
    <t>English Brown, Brown Porter, Dry Stout</t>
  </si>
  <si>
    <t>Weizen, Witbier, Cream Ale, Blonde Ale, Koelsch</t>
  </si>
  <si>
    <t>APA, AXPA, Saison, AIPA, IIPA</t>
  </si>
  <si>
    <t>Altbier, Steam, ESB, Ir. Red, Am. Amber, Eng. IPA, Roggenbier, Bel. Pale</t>
  </si>
  <si>
    <t>Am. Brown, English Brown, Brown Porter, Misc. Stouts, Dunkelweizen</t>
  </si>
  <si>
    <t>Belgian Blonde, Golden Strong, Tripel</t>
  </si>
  <si>
    <t>Strong Scotch Ale, Biere de Garde, Dubbel, Old Ale, Barleywine</t>
  </si>
  <si>
    <t>Baltic Porter, FES, Am. Stout, RIS, Weizenbock, BSDA, Old Ale</t>
  </si>
  <si>
    <t>50-100</t>
  </si>
  <si>
    <t>0-50</t>
  </si>
  <si>
    <t>50-75</t>
  </si>
  <si>
    <t>50-150</t>
  </si>
  <si>
    <t>0-100</t>
  </si>
  <si>
    <t>100-200</t>
  </si>
  <si>
    <t>100-400</t>
  </si>
  <si>
    <t>100-300</t>
  </si>
  <si>
    <t>125-150</t>
  </si>
  <si>
    <t>175-200</t>
  </si>
  <si>
    <t>75-100</t>
  </si>
  <si>
    <t>Yeast:</t>
  </si>
  <si>
    <t>Safale K-97 (Dry)</t>
  </si>
  <si>
    <t>Step</t>
  </si>
  <si>
    <t>Infusion Needed</t>
  </si>
  <si>
    <t>Tgt Temp (F)</t>
  </si>
  <si>
    <t>min.</t>
  </si>
  <si>
    <t>Edinbugh</t>
  </si>
  <si>
    <t>Burton-on-Trent</t>
  </si>
  <si>
    <t>Maxline ESB</t>
  </si>
  <si>
    <t>Gallons @</t>
  </si>
  <si>
    <t>Vienna, Oktoberfest-Maerzen</t>
  </si>
  <si>
    <t>Burton Ale</t>
  </si>
  <si>
    <t>add dark grain at recirc 15 min</t>
  </si>
  <si>
    <t>Pilsener, Pilsen (Palmer)</t>
  </si>
  <si>
    <t>Export Lager, Dortmund (Palmer)</t>
  </si>
  <si>
    <t>Vienna Lager, Vienna (Palmer)</t>
  </si>
  <si>
    <t>Oktoberfest, Munich (Palmer)</t>
  </si>
  <si>
    <t>British Bitter, London (Palmer)</t>
  </si>
  <si>
    <t>Scottish Ale, Edinburgh (Palmer)</t>
  </si>
  <si>
    <t>India Pale Ale, Burton (Palmer)</t>
  </si>
  <si>
    <t>Dry Stout, Dublin (Palmer)</t>
  </si>
  <si>
    <t>Belgium (exc Blaugies)</t>
  </si>
  <si>
    <t>use Brewer's Friend for 2nd, 3rd</t>
  </si>
  <si>
    <t xml:space="preserve">use Brewer's Friend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</si>
</sst>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0"/>
    <numFmt numFmtId="165" formatCode="0.0"/>
    <numFmt numFmtId="166" formatCode="0.0%"/>
    <numFmt numFmtId="167" formatCode="[$-F800]dddd\,\ mmmm\ dd\,\ yyyy"/>
    <numFmt numFmtId="168" formatCode="#,##0.0000_);\(#,##0.0000\)"/>
    <numFmt numFmtId="169" formatCode="0.000"/>
    <numFmt numFmtId="170" formatCode="0.00000"/>
    <numFmt numFmtId="171" formatCode="0.000E+00"/>
    <numFmt numFmtId="172" formatCode="0.000000"/>
    <numFmt numFmtId="173" formatCode="0.0000000"/>
  </numFmts>
  <fonts count="76" x14ac:knownFonts="1">
    <font>
      <sz val="11"/>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0"/>
      <color theme="1"/>
      <name val="Calibri"/>
      <family val="2"/>
      <scheme val="minor"/>
    </font>
    <font>
      <sz val="10"/>
      <name val="Arial"/>
      <family val="2"/>
    </font>
    <font>
      <sz val="10"/>
      <name val="Arial"/>
      <family val="2"/>
    </font>
    <font>
      <sz val="10"/>
      <color indexed="10"/>
      <name val="Arial"/>
      <family val="2"/>
    </font>
    <font>
      <b/>
      <sz val="10"/>
      <name val="Arial"/>
      <family val="2"/>
    </font>
    <font>
      <sz val="9"/>
      <color indexed="81"/>
      <name val="Tahoma"/>
      <family val="2"/>
    </font>
    <font>
      <b/>
      <sz val="9"/>
      <color indexed="81"/>
      <name val="Tahoma"/>
      <family val="2"/>
    </font>
    <font>
      <sz val="16"/>
      <color indexed="8"/>
      <name val="Calibri"/>
      <family val="2"/>
    </font>
    <font>
      <sz val="16"/>
      <color indexed="10"/>
      <name val="Calibri"/>
      <family val="2"/>
    </font>
    <font>
      <sz val="16"/>
      <color indexed="17"/>
      <name val="Calibri"/>
      <family val="2"/>
    </font>
    <font>
      <sz val="10"/>
      <color indexed="81"/>
      <name val="Tahoma"/>
      <family val="2"/>
    </font>
    <font>
      <b/>
      <sz val="10"/>
      <color indexed="81"/>
      <name val="Tahoma"/>
      <family val="2"/>
    </font>
    <font>
      <b/>
      <u/>
      <sz val="12"/>
      <color indexed="8"/>
      <name val="Calibri"/>
      <family val="2"/>
    </font>
    <font>
      <sz val="9"/>
      <color indexed="81"/>
      <name val="Calibri"/>
      <family val="2"/>
    </font>
    <font>
      <b/>
      <sz val="9"/>
      <color indexed="81"/>
      <name val="Calibri"/>
      <family val="2"/>
    </font>
    <font>
      <b/>
      <vertAlign val="subscript"/>
      <sz val="11"/>
      <color indexed="8"/>
      <name val="Calibri"/>
      <family val="2"/>
    </font>
    <font>
      <b/>
      <sz val="11"/>
      <color indexed="8"/>
      <name val="Calibri"/>
      <family val="2"/>
    </font>
    <font>
      <b/>
      <sz val="12"/>
      <name val="Arial"/>
      <family val="2"/>
    </font>
    <font>
      <sz val="16"/>
      <color indexed="50"/>
      <name val="Calibri"/>
      <family val="2"/>
    </font>
    <font>
      <b/>
      <i/>
      <sz val="9"/>
      <color indexed="81"/>
      <name val="Tahoma"/>
      <family val="2"/>
    </font>
    <font>
      <b/>
      <u/>
      <sz val="9"/>
      <color indexed="81"/>
      <name val="Calibri"/>
      <family val="2"/>
    </font>
    <font>
      <i/>
      <sz val="9"/>
      <color indexed="81"/>
      <name val="Tahoma"/>
      <family val="2"/>
    </font>
    <font>
      <sz val="11"/>
      <color theme="0"/>
      <name val="Calibri"/>
      <family val="2"/>
      <scheme val="minor"/>
    </font>
    <font>
      <b/>
      <sz val="11"/>
      <color theme="0"/>
      <name val="Calibri"/>
      <family val="2"/>
      <scheme val="minor"/>
    </font>
    <font>
      <b/>
      <sz val="11"/>
      <color theme="3"/>
      <name val="Calibri"/>
      <family val="2"/>
      <scheme val="minor"/>
    </font>
    <font>
      <u/>
      <sz val="11"/>
      <color theme="10"/>
      <name val="Calibri"/>
      <family val="2"/>
    </font>
    <font>
      <b/>
      <sz val="11"/>
      <color theme="1"/>
      <name val="Calibri"/>
      <family val="2"/>
      <scheme val="minor"/>
    </font>
    <font>
      <sz val="11"/>
      <color rgb="FFFF0000"/>
      <name val="Calibri"/>
      <family val="2"/>
      <scheme val="minor"/>
    </font>
    <font>
      <b/>
      <sz val="10"/>
      <color rgb="FFFF0000"/>
      <name val="Arial"/>
      <family val="2"/>
    </font>
    <font>
      <sz val="10"/>
      <color rgb="FFFF0000"/>
      <name val="Arial"/>
      <family val="2"/>
    </font>
    <font>
      <sz val="10"/>
      <color theme="1"/>
      <name val="Arial"/>
      <family val="2"/>
    </font>
    <font>
      <sz val="16"/>
      <color theme="1"/>
      <name val="Calibri"/>
      <family val="2"/>
      <scheme val="minor"/>
    </font>
    <font>
      <sz val="8"/>
      <color theme="1"/>
      <name val="Calibri"/>
      <family val="2"/>
      <scheme val="minor"/>
    </font>
    <font>
      <b/>
      <sz val="10"/>
      <color theme="1"/>
      <name val="Calibri"/>
      <family val="2"/>
      <scheme val="minor"/>
    </font>
    <font>
      <sz val="10"/>
      <color theme="1"/>
      <name val="Calibri"/>
      <family val="2"/>
      <scheme val="minor"/>
    </font>
    <font>
      <i/>
      <u/>
      <sz val="10"/>
      <color theme="1"/>
      <name val="Calibri"/>
      <family val="2"/>
      <scheme val="minor"/>
    </font>
    <font>
      <b/>
      <sz val="16"/>
      <color theme="1"/>
      <name val="Calibri"/>
      <family val="2"/>
      <scheme val="minor"/>
    </font>
    <font>
      <sz val="12"/>
      <color theme="1"/>
      <name val="Calibri"/>
      <family val="2"/>
    </font>
    <font>
      <b/>
      <sz val="12"/>
      <color theme="1"/>
      <name val="Calibri"/>
      <family val="2"/>
      <scheme val="minor"/>
    </font>
    <font>
      <sz val="14"/>
      <color theme="1"/>
      <name val="Calibri"/>
      <family val="2"/>
      <scheme val="minor"/>
    </font>
    <font>
      <b/>
      <sz val="18"/>
      <color theme="1"/>
      <name val="Calibri"/>
      <family val="2"/>
      <scheme val="minor"/>
    </font>
    <font>
      <i/>
      <sz val="12"/>
      <name val="Calibri"/>
      <family val="2"/>
      <scheme val="minor"/>
    </font>
    <font>
      <sz val="12"/>
      <name val="Calibri"/>
      <family val="2"/>
      <scheme val="minor"/>
    </font>
    <font>
      <i/>
      <sz val="12"/>
      <color theme="1"/>
      <name val="Calibri"/>
      <family val="2"/>
      <scheme val="minor"/>
    </font>
    <font>
      <sz val="11"/>
      <color theme="3" tint="-0.249977111117893"/>
      <name val="Calibri"/>
      <family val="2"/>
      <scheme val="minor"/>
    </font>
    <font>
      <sz val="11"/>
      <color theme="6" tint="-0.499984740745262"/>
      <name val="Calibri"/>
      <family val="2"/>
      <scheme val="minor"/>
    </font>
    <font>
      <sz val="11"/>
      <color rgb="FF002060"/>
      <name val="Calibri"/>
      <family val="2"/>
      <scheme val="minor"/>
    </font>
    <font>
      <sz val="11"/>
      <color theme="3"/>
      <name val="Calibri"/>
      <family val="2"/>
      <scheme val="minor"/>
    </font>
    <font>
      <sz val="10"/>
      <color theme="0" tint="-0.249977111117893"/>
      <name val="Arial"/>
      <family val="2"/>
    </font>
    <font>
      <u/>
      <sz val="11"/>
      <color theme="1"/>
      <name val="Calibri"/>
      <family val="2"/>
      <scheme val="minor"/>
    </font>
    <font>
      <b/>
      <sz val="11"/>
      <color rgb="FF0070C0"/>
      <name val="Calibri"/>
      <family val="2"/>
      <scheme val="minor"/>
    </font>
    <font>
      <b/>
      <sz val="14"/>
      <color theme="1"/>
      <name val="Calibri"/>
      <family val="2"/>
      <scheme val="minor"/>
    </font>
    <font>
      <u/>
      <sz val="10"/>
      <color theme="10"/>
      <name val="Calibri"/>
      <family val="2"/>
    </font>
    <font>
      <sz val="11"/>
      <color rgb="FFC00000"/>
      <name val="Calibri"/>
      <family val="2"/>
      <scheme val="minor"/>
    </font>
    <font>
      <sz val="10"/>
      <color rgb="FF141414"/>
      <name val="Tahoma"/>
      <family val="2"/>
    </font>
    <font>
      <sz val="11"/>
      <color theme="2" tint="-0.749992370372631"/>
      <name val="Calibri"/>
      <family val="2"/>
      <scheme val="minor"/>
    </font>
    <font>
      <sz val="11"/>
      <color rgb="FFFFC000"/>
      <name val="Calibri"/>
      <family val="2"/>
      <scheme val="minor"/>
    </font>
    <font>
      <sz val="10"/>
      <color rgb="FF3E3E3E"/>
      <name val="Tahoma"/>
      <family val="2"/>
    </font>
    <font>
      <b/>
      <sz val="10"/>
      <color theme="1"/>
      <name val="Arial Unicode MS"/>
      <family val="2"/>
    </font>
    <font>
      <b/>
      <sz val="11"/>
      <color theme="1" tint="0.14996795556505021"/>
      <name val="Calibri"/>
      <family val="2"/>
      <scheme val="minor"/>
    </font>
    <font>
      <sz val="11"/>
      <color theme="0" tint="-0.34998626667073579"/>
      <name val="Calibri"/>
      <family val="2"/>
      <scheme val="minor"/>
    </font>
    <font>
      <b/>
      <sz val="10"/>
      <color theme="1"/>
      <name val="Arial"/>
      <family val="2"/>
    </font>
    <font>
      <b/>
      <i/>
      <sz val="11"/>
      <color theme="1"/>
      <name val="Calibri"/>
      <family val="2"/>
      <scheme val="minor"/>
    </font>
    <font>
      <sz val="12"/>
      <color theme="1"/>
      <name val="Calibri"/>
      <family val="2"/>
      <scheme val="minor"/>
    </font>
    <font>
      <i/>
      <sz val="10"/>
      <color theme="1"/>
      <name val="Calibri"/>
      <family val="2"/>
      <scheme val="minor"/>
    </font>
    <font>
      <sz val="11"/>
      <color theme="1"/>
      <name val="Comic Sans MS"/>
      <family val="4"/>
    </font>
    <font>
      <b/>
      <sz val="20"/>
      <color theme="1"/>
      <name val="Calibri"/>
      <family val="2"/>
      <scheme val="minor"/>
    </font>
    <font>
      <u/>
      <sz val="10"/>
      <color indexed="12"/>
      <name val="Arial"/>
      <family val="2"/>
    </font>
    <font>
      <sz val="10"/>
      <color rgb="FFFF0000"/>
      <name val="Calibri"/>
      <family val="2"/>
      <scheme val="minor"/>
    </font>
    <font>
      <b/>
      <sz val="11"/>
      <color rgb="FF008000"/>
      <name val="Calibri"/>
      <family val="2"/>
      <scheme val="minor"/>
    </font>
    <font>
      <b/>
      <sz val="8"/>
      <color rgb="FF008000"/>
      <name val="Calibri"/>
      <family val="2"/>
      <scheme val="minor"/>
    </font>
  </fonts>
  <fills count="17">
    <fill>
      <patternFill patternType="none"/>
    </fill>
    <fill>
      <patternFill patternType="gray125"/>
    </fill>
    <fill>
      <patternFill patternType="solid">
        <fgColor theme="0" tint="-0.149967955565050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EF1D1"/>
        <bgColor rgb="FF000000"/>
      </patternFill>
    </fill>
    <fill>
      <patternFill patternType="solid">
        <fgColor theme="9" tint="0.79998168889431442"/>
        <bgColor indexed="64"/>
      </patternFill>
    </fill>
    <fill>
      <patternFill patternType="solid">
        <fgColor theme="0"/>
        <bgColor indexed="64"/>
      </patternFill>
    </fill>
    <fill>
      <patternFill patternType="solid">
        <fgColor rgb="FFFFC000"/>
        <bgColor indexed="64"/>
      </patternFill>
    </fill>
    <fill>
      <patternFill patternType="solid">
        <fgColor rgb="FFC00000"/>
        <bgColor indexed="64"/>
      </patternFill>
    </fill>
    <fill>
      <patternFill patternType="solid">
        <fgColor rgb="FFC9DAF8"/>
        <bgColor indexed="64"/>
      </patternFill>
    </fill>
    <fill>
      <patternFill patternType="solid">
        <fgColor rgb="FFC9DAF8"/>
        <bgColor indexed="13"/>
      </patternFill>
    </fill>
    <fill>
      <patternFill patternType="solid">
        <fgColor theme="2"/>
        <bgColor indexed="64"/>
      </patternFill>
    </fill>
    <fill>
      <patternFill patternType="solid">
        <fgColor rgb="FFE55A1B"/>
        <bgColor indexed="64"/>
      </patternFill>
    </fill>
    <fill>
      <patternFill patternType="solid">
        <fgColor theme="6" tint="0.79998168889431442"/>
        <bgColor indexed="64"/>
      </patternFill>
    </fill>
    <fill>
      <patternFill patternType="solid">
        <fgColor theme="0" tint="-4.9989318521683403E-2"/>
        <bgColor indexed="64"/>
      </patternFill>
    </fill>
  </fills>
  <borders count="89">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ck">
        <color indexed="64"/>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dotted">
        <color indexed="64"/>
      </left>
      <right/>
      <top style="thin">
        <color indexed="64"/>
      </top>
      <bottom/>
      <diagonal/>
    </border>
    <border>
      <left/>
      <right style="dotted">
        <color indexed="64"/>
      </right>
      <top style="thin">
        <color indexed="64"/>
      </top>
      <bottom/>
      <diagonal/>
    </border>
    <border>
      <left/>
      <right/>
      <top/>
      <bottom style="thick">
        <color indexed="64"/>
      </bottom>
      <diagonal/>
    </border>
    <border>
      <left/>
      <right/>
      <top/>
      <bottom style="dash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ashed">
        <color indexed="64"/>
      </left>
      <right/>
      <top style="thin">
        <color indexed="64"/>
      </top>
      <bottom/>
      <diagonal/>
    </border>
    <border>
      <left style="dashed">
        <color indexed="64"/>
      </left>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style="thick">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ck">
        <color theme="3"/>
      </left>
      <right/>
      <top style="thick">
        <color theme="3"/>
      </top>
      <bottom/>
      <diagonal/>
    </border>
    <border>
      <left/>
      <right/>
      <top style="thick">
        <color theme="3"/>
      </top>
      <bottom/>
      <diagonal/>
    </border>
    <border>
      <left style="thick">
        <color theme="3"/>
      </left>
      <right/>
      <top/>
      <bottom/>
      <diagonal/>
    </border>
    <border>
      <left style="thick">
        <color theme="3"/>
      </left>
      <right/>
      <top/>
      <bottom style="thick">
        <color theme="3"/>
      </bottom>
      <diagonal/>
    </border>
    <border>
      <left/>
      <right/>
      <top/>
      <bottom style="thick">
        <color theme="3"/>
      </bottom>
      <diagonal/>
    </border>
    <border>
      <left/>
      <right style="thick">
        <color theme="3"/>
      </right>
      <top style="thick">
        <color theme="3"/>
      </top>
      <bottom/>
      <diagonal/>
    </border>
    <border>
      <left/>
      <right style="thick">
        <color theme="3"/>
      </right>
      <top/>
      <bottom/>
      <diagonal/>
    </border>
    <border>
      <left/>
      <right style="thick">
        <color theme="3"/>
      </right>
      <top/>
      <bottom style="thick">
        <color theme="3"/>
      </bottom>
      <diagonal/>
    </border>
    <border>
      <left/>
      <right/>
      <top style="medium">
        <color theme="3"/>
      </top>
      <bottom/>
      <diagonal/>
    </border>
    <border>
      <left style="medium">
        <color theme="3"/>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1"/>
      </left>
      <right style="thin">
        <color theme="1"/>
      </right>
      <top style="thin">
        <color theme="1"/>
      </top>
      <bottom style="thin">
        <color theme="1"/>
      </bottom>
      <diagonal/>
    </border>
  </borders>
  <cellStyleXfs count="7">
    <xf numFmtId="0" fontId="0" fillId="0" borderId="0"/>
    <xf numFmtId="0" fontId="30" fillId="0" borderId="0" applyNumberFormat="0" applyFill="0" applyBorder="0" applyAlignment="0" applyProtection="0">
      <alignment vertical="top"/>
      <protection locked="0"/>
    </xf>
    <xf numFmtId="0" fontId="6" fillId="0" borderId="0"/>
    <xf numFmtId="0" fontId="7" fillId="0" borderId="0"/>
    <xf numFmtId="9" fontId="6" fillId="0" borderId="0" applyFont="0" applyFill="0" applyBorder="0" applyAlignment="0" applyProtection="0"/>
    <xf numFmtId="0" fontId="72" fillId="0" borderId="0" applyNumberFormat="0" applyFill="0" applyBorder="0" applyAlignment="0" applyProtection="0">
      <alignment vertical="top"/>
      <protection locked="0"/>
    </xf>
    <xf numFmtId="0" fontId="68" fillId="0" borderId="0"/>
  </cellStyleXfs>
  <cellXfs count="840">
    <xf numFmtId="0" fontId="0" fillId="0" borderId="0" xfId="0"/>
    <xf numFmtId="0" fontId="0" fillId="0" borderId="0" xfId="0" applyAlignment="1">
      <alignment horizontal="right"/>
    </xf>
    <xf numFmtId="0" fontId="0" fillId="0" borderId="1" xfId="0" applyBorder="1"/>
    <xf numFmtId="0" fontId="0" fillId="0" borderId="2" xfId="0" applyBorder="1"/>
    <xf numFmtId="0" fontId="0" fillId="0" borderId="0" xfId="0" applyBorder="1"/>
    <xf numFmtId="0" fontId="0" fillId="0" borderId="0" xfId="0" applyBorder="1" applyAlignment="1">
      <alignment horizontal="right"/>
    </xf>
    <xf numFmtId="0" fontId="0" fillId="0" borderId="0" xfId="0" quotePrefix="1" applyBorder="1"/>
    <xf numFmtId="0" fontId="0" fillId="0" borderId="3" xfId="0" applyBorder="1"/>
    <xf numFmtId="0" fontId="0" fillId="0" borderId="4" xfId="0" applyBorder="1"/>
    <xf numFmtId="0" fontId="0" fillId="0" borderId="5" xfId="0" applyBorder="1"/>
    <xf numFmtId="0" fontId="0" fillId="0" borderId="6" xfId="0" applyBorder="1"/>
    <xf numFmtId="0" fontId="31" fillId="0" borderId="0" xfId="0" applyFont="1"/>
    <xf numFmtId="0" fontId="0" fillId="2" borderId="7" xfId="0" applyFill="1" applyBorder="1"/>
    <xf numFmtId="0" fontId="6" fillId="0" borderId="0" xfId="2" applyFont="1" applyAlignment="1">
      <alignment wrapText="1"/>
    </xf>
    <xf numFmtId="0" fontId="6" fillId="0" borderId="0" xfId="2"/>
    <xf numFmtId="0" fontId="6" fillId="0" borderId="0" xfId="2" applyBorder="1"/>
    <xf numFmtId="0" fontId="6" fillId="0" borderId="0" xfId="2" applyFont="1"/>
    <xf numFmtId="0" fontId="33" fillId="0" borderId="0" xfId="2" applyFont="1"/>
    <xf numFmtId="0" fontId="6" fillId="0" borderId="0" xfId="3" applyFont="1"/>
    <xf numFmtId="0" fontId="7" fillId="0" borderId="0" xfId="3"/>
    <xf numFmtId="0" fontId="7" fillId="0" borderId="0" xfId="3" applyFill="1"/>
    <xf numFmtId="0" fontId="7" fillId="0" borderId="0" xfId="3" applyAlignment="1">
      <alignment horizontal="right"/>
    </xf>
    <xf numFmtId="0" fontId="7" fillId="0" borderId="0" xfId="3" quotePrefix="1" applyAlignment="1">
      <alignment horizontal="right"/>
    </xf>
    <xf numFmtId="0" fontId="7" fillId="0" borderId="0" xfId="3" quotePrefix="1" applyFont="1" applyAlignment="1">
      <alignment horizontal="right"/>
    </xf>
    <xf numFmtId="0" fontId="34" fillId="0" borderId="0" xfId="3" applyFont="1"/>
    <xf numFmtId="2" fontId="7" fillId="0" borderId="0" xfId="3" applyNumberFormat="1"/>
    <xf numFmtId="0" fontId="34" fillId="0" borderId="0" xfId="3" applyFont="1" applyAlignment="1">
      <alignment horizontal="right"/>
    </xf>
    <xf numFmtId="0" fontId="6" fillId="0" borderId="0" xfId="3" applyFont="1" applyAlignment="1">
      <alignment horizontal="right"/>
    </xf>
    <xf numFmtId="0" fontId="9" fillId="0" borderId="0" xfId="3" applyFont="1" applyAlignment="1">
      <alignment horizontal="right"/>
    </xf>
    <xf numFmtId="1" fontId="7" fillId="0" borderId="0" xfId="3" applyNumberFormat="1" applyFill="1"/>
    <xf numFmtId="166" fontId="0" fillId="0" borderId="0" xfId="0" applyNumberFormat="1" applyBorder="1"/>
    <xf numFmtId="0" fontId="0" fillId="0" borderId="8" xfId="0" applyBorder="1" applyAlignment="1">
      <alignment horizontal="center"/>
    </xf>
    <xf numFmtId="0" fontId="0" fillId="0" borderId="9" xfId="0" applyBorder="1" applyAlignment="1">
      <alignment horizontal="center"/>
    </xf>
    <xf numFmtId="0" fontId="31" fillId="0" borderId="7" xfId="0" applyFont="1" applyBorder="1" applyAlignment="1">
      <alignment horizontal="center"/>
    </xf>
    <xf numFmtId="0" fontId="9" fillId="0" borderId="7" xfId="0" applyNumberFormat="1" applyFont="1" applyFill="1" applyBorder="1" applyAlignment="1" applyProtection="1">
      <alignment horizontal="center"/>
      <protection locked="0"/>
    </xf>
    <xf numFmtId="0" fontId="9" fillId="0" borderId="7" xfId="0" applyFont="1" applyBorder="1" applyAlignment="1">
      <alignment horizontal="center"/>
    </xf>
    <xf numFmtId="0" fontId="35" fillId="0" borderId="0" xfId="3" applyFont="1"/>
    <xf numFmtId="164" fontId="6" fillId="0" borderId="0" xfId="3" applyNumberFormat="1" applyFont="1"/>
    <xf numFmtId="0" fontId="6" fillId="0" borderId="0" xfId="2" applyFill="1"/>
    <xf numFmtId="0" fontId="6" fillId="0" borderId="0" xfId="2" applyFont="1" applyFill="1"/>
    <xf numFmtId="0" fontId="34" fillId="0" borderId="0" xfId="2" applyFont="1"/>
    <xf numFmtId="0" fontId="6" fillId="0" borderId="0" xfId="2" quotePrefix="1"/>
    <xf numFmtId="2" fontId="6" fillId="0" borderId="0" xfId="2" applyNumberFormat="1"/>
    <xf numFmtId="165" fontId="0" fillId="0" borderId="10" xfId="0" applyNumberFormat="1" applyBorder="1" applyAlignment="1">
      <alignment horizontal="center"/>
    </xf>
    <xf numFmtId="165" fontId="0" fillId="0" borderId="8" xfId="0" applyNumberFormat="1" applyBorder="1" applyAlignment="1">
      <alignment horizontal="center"/>
    </xf>
    <xf numFmtId="165" fontId="0" fillId="0" borderId="9" xfId="0" applyNumberFormat="1" applyBorder="1" applyAlignment="1">
      <alignment horizontal="center"/>
    </xf>
    <xf numFmtId="168" fontId="7" fillId="0" borderId="0" xfId="3" applyNumberFormat="1"/>
    <xf numFmtId="0" fontId="36" fillId="0" borderId="0" xfId="0" applyFont="1"/>
    <xf numFmtId="0" fontId="36" fillId="0" borderId="0" xfId="0" quotePrefix="1" applyFont="1"/>
    <xf numFmtId="2" fontId="0" fillId="0" borderId="6" xfId="0" applyNumberFormat="1" applyBorder="1"/>
    <xf numFmtId="2" fontId="0" fillId="0" borderId="1" xfId="0" applyNumberFormat="1" applyBorder="1"/>
    <xf numFmtId="2" fontId="0" fillId="0" borderId="4" xfId="0" applyNumberFormat="1" applyBorder="1"/>
    <xf numFmtId="0" fontId="0" fillId="0" borderId="0" xfId="0" quotePrefix="1" applyFill="1"/>
    <xf numFmtId="0" fontId="0" fillId="0" borderId="0" xfId="0" applyFill="1"/>
    <xf numFmtId="0" fontId="6" fillId="3" borderId="0" xfId="2" applyFill="1" applyProtection="1">
      <protection locked="0"/>
    </xf>
    <xf numFmtId="0" fontId="6" fillId="0" borderId="0" xfId="2" quotePrefix="1" applyFont="1" applyFill="1"/>
    <xf numFmtId="0" fontId="6" fillId="0" borderId="0" xfId="2" applyFont="1" applyFill="1" applyAlignment="1">
      <alignment horizontal="center"/>
    </xf>
    <xf numFmtId="1" fontId="0" fillId="0" borderId="6" xfId="0" applyNumberFormat="1" applyBorder="1" applyAlignment="1">
      <alignment horizontal="center"/>
    </xf>
    <xf numFmtId="1" fontId="0" fillId="0" borderId="1" xfId="0" applyNumberFormat="1" applyBorder="1" applyAlignment="1">
      <alignment horizontal="center"/>
    </xf>
    <xf numFmtId="1" fontId="0" fillId="0" borderId="4" xfId="0" applyNumberFormat="1" applyBorder="1" applyAlignment="1">
      <alignment horizontal="center"/>
    </xf>
    <xf numFmtId="165" fontId="0" fillId="0" borderId="0" xfId="0" applyNumberFormat="1" applyBorder="1"/>
    <xf numFmtId="1" fontId="0" fillId="0" borderId="0" xfId="0" applyNumberFormat="1" applyBorder="1"/>
    <xf numFmtId="0" fontId="0" fillId="0" borderId="10" xfId="0" applyBorder="1" applyAlignment="1">
      <alignment horizontal="center"/>
    </xf>
    <xf numFmtId="0" fontId="6" fillId="0" borderId="0" xfId="0" applyFont="1" applyFill="1" applyBorder="1" applyAlignment="1">
      <alignment horizontal="center" wrapText="1"/>
    </xf>
    <xf numFmtId="0" fontId="32" fillId="0" borderId="0" xfId="0" applyFont="1"/>
    <xf numFmtId="0" fontId="32" fillId="0" borderId="0" xfId="0" applyFont="1" applyAlignment="1">
      <alignment horizontal="right"/>
    </xf>
    <xf numFmtId="0" fontId="0" fillId="0" borderId="0" xfId="0" applyProtection="1"/>
    <xf numFmtId="0" fontId="31" fillId="0" borderId="7" xfId="0" applyFont="1" applyBorder="1" applyAlignment="1" applyProtection="1">
      <alignment horizontal="center"/>
    </xf>
    <xf numFmtId="0" fontId="31" fillId="0" borderId="7" xfId="0" applyFont="1" applyBorder="1" applyProtection="1"/>
    <xf numFmtId="0" fontId="9" fillId="0" borderId="7" xfId="0" applyNumberFormat="1" applyFont="1" applyFill="1" applyBorder="1" applyAlignment="1" applyProtection="1">
      <alignment horizontal="center"/>
    </xf>
    <xf numFmtId="0" fontId="9" fillId="0" borderId="7" xfId="0" applyFont="1" applyBorder="1" applyAlignment="1" applyProtection="1">
      <alignment horizontal="center"/>
    </xf>
    <xf numFmtId="0" fontId="0" fillId="0" borderId="0" xfId="0" applyFont="1"/>
    <xf numFmtId="0" fontId="0" fillId="0" borderId="0" xfId="0" applyBorder="1" applyAlignment="1" applyProtection="1">
      <alignment horizontal="center"/>
    </xf>
    <xf numFmtId="0" fontId="6" fillId="0" borderId="0" xfId="0" applyNumberFormat="1" applyFont="1" applyFill="1" applyBorder="1" applyAlignment="1" applyProtection="1">
      <alignment horizontal="center"/>
    </xf>
    <xf numFmtId="0" fontId="6" fillId="0" borderId="0" xfId="0" applyFont="1" applyBorder="1" applyAlignment="1" applyProtection="1">
      <alignment horizontal="center"/>
    </xf>
    <xf numFmtId="0" fontId="0" fillId="0" borderId="11" xfId="0" applyBorder="1" applyAlignment="1" applyProtection="1">
      <alignment horizontal="center"/>
    </xf>
    <xf numFmtId="0" fontId="6" fillId="0" borderId="0" xfId="0" applyFont="1" applyFill="1" applyBorder="1" applyAlignment="1" applyProtection="1">
      <alignment horizontal="center"/>
    </xf>
    <xf numFmtId="0" fontId="0" fillId="0" borderId="0" xfId="0" applyAlignment="1" applyProtection="1">
      <alignment horizontal="center"/>
    </xf>
    <xf numFmtId="0" fontId="0" fillId="0" borderId="0" xfId="0" applyFont="1" applyProtection="1"/>
    <xf numFmtId="0" fontId="0" fillId="0" borderId="0" xfId="0" applyAlignment="1" applyProtection="1">
      <alignment wrapText="1"/>
    </xf>
    <xf numFmtId="0" fontId="0" fillId="0" borderId="0" xfId="0" applyBorder="1" applyAlignment="1" applyProtection="1">
      <alignment horizontal="center" wrapText="1"/>
    </xf>
    <xf numFmtId="0" fontId="6" fillId="0" borderId="0" xfId="0" applyNumberFormat="1" applyFont="1" applyFill="1" applyBorder="1" applyAlignment="1" applyProtection="1">
      <alignment horizontal="center" wrapText="1"/>
    </xf>
    <xf numFmtId="0" fontId="6" fillId="0" borderId="0" xfId="0" applyFont="1" applyBorder="1" applyAlignment="1" applyProtection="1">
      <alignment horizontal="center" wrapText="1"/>
    </xf>
    <xf numFmtId="0" fontId="32" fillId="0" borderId="0" xfId="0" applyFont="1" applyAlignment="1" applyProtection="1">
      <alignment horizontal="right"/>
    </xf>
    <xf numFmtId="0" fontId="32" fillId="0" borderId="0" xfId="0" applyFont="1" applyProtection="1"/>
    <xf numFmtId="0" fontId="0" fillId="0" borderId="0" xfId="0" applyAlignment="1" applyProtection="1">
      <alignment horizontal="right"/>
    </xf>
    <xf numFmtId="0" fontId="6" fillId="0" borderId="0" xfId="2" applyFont="1" applyProtection="1"/>
    <xf numFmtId="0" fontId="6" fillId="0" borderId="0" xfId="2" applyProtection="1"/>
    <xf numFmtId="0" fontId="6" fillId="0" borderId="0" xfId="2" applyFont="1" applyAlignment="1" applyProtection="1">
      <alignment horizontal="right"/>
    </xf>
    <xf numFmtId="0" fontId="31" fillId="0" borderId="7" xfId="0" quotePrefix="1" applyFont="1" applyBorder="1" applyAlignment="1" applyProtection="1">
      <alignment horizontal="center"/>
    </xf>
    <xf numFmtId="0" fontId="0" fillId="0" borderId="0" xfId="0" applyAlignment="1">
      <alignment horizontal="center"/>
    </xf>
    <xf numFmtId="166" fontId="0" fillId="0" borderId="4" xfId="0" applyNumberFormat="1" applyBorder="1"/>
    <xf numFmtId="1" fontId="0" fillId="0" borderId="1" xfId="0" applyNumberFormat="1" applyBorder="1"/>
    <xf numFmtId="1" fontId="0" fillId="0" borderId="4" xfId="0" applyNumberFormat="1" applyBorder="1" applyAlignment="1">
      <alignment horizontal="right"/>
    </xf>
    <xf numFmtId="166" fontId="0" fillId="0" borderId="0" xfId="0" applyNumberFormat="1"/>
    <xf numFmtId="169" fontId="0" fillId="0" borderId="0" xfId="0" applyNumberFormat="1"/>
    <xf numFmtId="1" fontId="0" fillId="0" borderId="0" xfId="0" applyNumberFormat="1"/>
    <xf numFmtId="0" fontId="27" fillId="0" borderId="0" xfId="0" applyFont="1"/>
    <xf numFmtId="0" fontId="27" fillId="0" borderId="0" xfId="0" applyFont="1" applyProtection="1"/>
    <xf numFmtId="0" fontId="0" fillId="0" borderId="0" xfId="0" quotePrefix="1"/>
    <xf numFmtId="0" fontId="37" fillId="0" borderId="12" xfId="0" applyFont="1" applyBorder="1" applyAlignment="1">
      <alignment horizontal="center"/>
    </xf>
    <xf numFmtId="1" fontId="38" fillId="0" borderId="0" xfId="0" applyNumberFormat="1" applyFont="1"/>
    <xf numFmtId="0" fontId="39" fillId="0" borderId="0" xfId="0" applyFont="1"/>
    <xf numFmtId="0" fontId="38" fillId="0" borderId="0" xfId="0" applyFont="1"/>
    <xf numFmtId="167" fontId="38" fillId="0" borderId="0" xfId="0" applyNumberFormat="1" applyFont="1"/>
    <xf numFmtId="166" fontId="39" fillId="0" borderId="0" xfId="0" applyNumberFormat="1" applyFont="1"/>
    <xf numFmtId="0" fontId="40" fillId="0" borderId="0" xfId="0" applyFont="1"/>
    <xf numFmtId="0" fontId="39" fillId="0" borderId="0" xfId="0" applyFont="1" applyAlignment="1">
      <alignment horizontal="center"/>
    </xf>
    <xf numFmtId="0" fontId="40" fillId="0" borderId="0" xfId="0" applyFont="1" applyAlignment="1">
      <alignment horizontal="left"/>
    </xf>
    <xf numFmtId="0" fontId="37" fillId="0" borderId="0"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center"/>
    </xf>
    <xf numFmtId="0" fontId="37" fillId="0" borderId="5" xfId="0" applyFont="1" applyBorder="1" applyAlignment="1">
      <alignment horizontal="center"/>
    </xf>
    <xf numFmtId="0" fontId="0" fillId="0" borderId="13" xfId="0" applyFill="1" applyBorder="1" applyAlignment="1">
      <alignment horizontal="left"/>
    </xf>
    <xf numFmtId="0" fontId="0" fillId="0" borderId="6" xfId="0" applyFill="1" applyBorder="1" applyAlignment="1">
      <alignment horizontal="left"/>
    </xf>
    <xf numFmtId="0" fontId="0" fillId="0" borderId="0" xfId="0" applyFill="1" applyBorder="1" applyAlignment="1" applyProtection="1">
      <alignment horizontal="left"/>
    </xf>
    <xf numFmtId="0" fontId="0" fillId="0" borderId="0" xfId="0" applyFill="1" applyBorder="1" applyProtection="1"/>
    <xf numFmtId="0" fontId="0" fillId="0" borderId="0" xfId="0" applyFill="1" applyProtection="1"/>
    <xf numFmtId="0" fontId="0" fillId="0" borderId="0" xfId="0" applyFill="1" applyBorder="1" applyAlignment="1" applyProtection="1">
      <alignment horizontal="center"/>
    </xf>
    <xf numFmtId="0" fontId="0" fillId="0" borderId="0" xfId="0" applyFont="1" applyFill="1" applyBorder="1" applyAlignment="1" applyProtection="1">
      <alignment horizontal="center"/>
    </xf>
    <xf numFmtId="165" fontId="0" fillId="0" borderId="0" xfId="0" applyNumberFormat="1" applyFill="1" applyBorder="1" applyAlignment="1" applyProtection="1">
      <alignment horizontal="center"/>
    </xf>
    <xf numFmtId="164" fontId="0" fillId="0" borderId="0" xfId="0" applyNumberFormat="1" applyProtection="1"/>
    <xf numFmtId="0" fontId="0" fillId="0" borderId="6" xfId="0" applyFill="1" applyBorder="1" applyAlignment="1" applyProtection="1">
      <alignment horizontal="left"/>
    </xf>
    <xf numFmtId="0" fontId="0" fillId="0" borderId="14" xfId="0" applyFill="1" applyBorder="1" applyProtection="1"/>
    <xf numFmtId="0" fontId="35" fillId="0" borderId="0" xfId="2" applyFont="1"/>
    <xf numFmtId="164" fontId="35" fillId="0" borderId="0" xfId="2" applyNumberFormat="1" applyFont="1"/>
    <xf numFmtId="0" fontId="0" fillId="0" borderId="0" xfId="0" applyAlignment="1">
      <alignment horizontal="center"/>
    </xf>
    <xf numFmtId="0" fontId="6" fillId="0" borderId="0" xfId="2" applyAlignment="1">
      <alignment horizontal="center"/>
    </xf>
    <xf numFmtId="2" fontId="0" fillId="0" borderId="0" xfId="0" applyNumberFormat="1" applyAlignment="1">
      <alignment horizontal="center"/>
    </xf>
    <xf numFmtId="165" fontId="0" fillId="0" borderId="0" xfId="0" applyNumberFormat="1" applyAlignment="1">
      <alignment horizontal="center"/>
    </xf>
    <xf numFmtId="0" fontId="41" fillId="0" borderId="0" xfId="0" applyFont="1" applyAlignment="1">
      <alignment horizontal="center"/>
    </xf>
    <xf numFmtId="0" fontId="0" fillId="4" borderId="10" xfId="0" applyFill="1" applyBorder="1" applyAlignment="1">
      <alignment horizontal="center"/>
    </xf>
    <xf numFmtId="2" fontId="0" fillId="4" borderId="10" xfId="0" applyNumberFormat="1" applyFill="1" applyBorder="1" applyAlignment="1">
      <alignment horizontal="center"/>
    </xf>
    <xf numFmtId="165" fontId="0" fillId="4" borderId="10" xfId="0" applyNumberFormat="1" applyFill="1" applyBorder="1" applyAlignment="1">
      <alignment horizontal="center"/>
    </xf>
    <xf numFmtId="0" fontId="0" fillId="4" borderId="9" xfId="0" applyFill="1" applyBorder="1" applyAlignment="1">
      <alignment horizontal="center"/>
    </xf>
    <xf numFmtId="2" fontId="0" fillId="4" borderId="9" xfId="0" applyNumberFormat="1" applyFill="1" applyBorder="1" applyAlignment="1">
      <alignment horizontal="center"/>
    </xf>
    <xf numFmtId="165" fontId="0" fillId="4" borderId="9" xfId="0" applyNumberFormat="1" applyFill="1" applyBorder="1" applyAlignment="1">
      <alignment horizontal="center"/>
    </xf>
    <xf numFmtId="0" fontId="0" fillId="5" borderId="7" xfId="0" applyFill="1" applyBorder="1" applyProtection="1">
      <protection locked="0"/>
    </xf>
    <xf numFmtId="0" fontId="0" fillId="5" borderId="7" xfId="0" applyFill="1" applyBorder="1" applyAlignment="1" applyProtection="1">
      <alignment horizontal="center"/>
      <protection locked="0"/>
    </xf>
    <xf numFmtId="2" fontId="42" fillId="6" borderId="7" xfId="0" applyNumberFormat="1" applyFont="1" applyFill="1" applyBorder="1" applyAlignment="1" applyProtection="1">
      <alignment horizontal="center"/>
      <protection locked="0"/>
    </xf>
    <xf numFmtId="2" fontId="0" fillId="7" borderId="7" xfId="0" applyNumberFormat="1" applyFill="1" applyBorder="1" applyAlignment="1">
      <alignment horizontal="center"/>
    </xf>
    <xf numFmtId="165" fontId="0" fillId="7" borderId="7" xfId="0" applyNumberFormat="1" applyFill="1" applyBorder="1" applyAlignment="1">
      <alignment horizontal="center"/>
    </xf>
    <xf numFmtId="0" fontId="0" fillId="0" borderId="1" xfId="0" applyFont="1" applyBorder="1" applyAlignment="1">
      <alignment horizontal="left" vertical="top" wrapText="1"/>
    </xf>
    <xf numFmtId="0" fontId="0" fillId="4" borderId="7" xfId="0" applyFill="1" applyBorder="1" applyAlignment="1">
      <alignment horizontal="center"/>
    </xf>
    <xf numFmtId="2" fontId="0" fillId="7" borderId="7" xfId="0" applyNumberFormat="1" applyFont="1" applyFill="1" applyBorder="1" applyAlignment="1">
      <alignment horizontal="center"/>
    </xf>
    <xf numFmtId="2" fontId="43" fillId="7" borderId="7" xfId="0" applyNumberFormat="1" applyFont="1" applyFill="1" applyBorder="1" applyAlignment="1">
      <alignment horizontal="center"/>
    </xf>
    <xf numFmtId="0" fontId="0" fillId="0" borderId="0" xfId="0" applyFont="1" applyAlignment="1">
      <alignment horizontal="left" vertical="top" wrapText="1"/>
    </xf>
    <xf numFmtId="0" fontId="44" fillId="0" borderId="0" xfId="0" applyFont="1" applyAlignment="1">
      <alignment horizontal="left" vertical="top" wrapText="1"/>
    </xf>
    <xf numFmtId="2" fontId="45" fillId="0" borderId="0" xfId="0" applyNumberFormat="1" applyFont="1" applyFill="1" applyBorder="1" applyAlignment="1">
      <alignment horizontal="center"/>
    </xf>
    <xf numFmtId="165" fontId="0" fillId="0" borderId="0" xfId="0" applyNumberFormat="1"/>
    <xf numFmtId="165" fontId="0" fillId="4" borderId="7" xfId="0" applyNumberFormat="1" applyFill="1" applyBorder="1"/>
    <xf numFmtId="165" fontId="0" fillId="5" borderId="7" xfId="0" applyNumberFormat="1" applyFill="1" applyBorder="1" applyAlignment="1" applyProtection="1">
      <alignment horizontal="center"/>
      <protection locked="0"/>
    </xf>
    <xf numFmtId="165" fontId="0" fillId="4" borderId="7" xfId="0" applyNumberFormat="1" applyFill="1" applyBorder="1" applyAlignment="1">
      <alignment horizontal="center"/>
    </xf>
    <xf numFmtId="0" fontId="0" fillId="4" borderId="7" xfId="0" applyFill="1" applyBorder="1"/>
    <xf numFmtId="9" fontId="0" fillId="5" borderId="7" xfId="0" applyNumberFormat="1" applyFill="1" applyBorder="1" applyAlignment="1" applyProtection="1">
      <alignment horizontal="center"/>
      <protection locked="0"/>
    </xf>
    <xf numFmtId="2" fontId="0" fillId="0" borderId="0" xfId="0" applyNumberFormat="1"/>
    <xf numFmtId="2" fontId="0" fillId="4" borderId="7" xfId="0" applyNumberFormat="1" applyFill="1" applyBorder="1"/>
    <xf numFmtId="169" fontId="0" fillId="7" borderId="7" xfId="0" applyNumberFormat="1" applyFill="1" applyBorder="1" applyAlignment="1">
      <alignment horizontal="center"/>
    </xf>
    <xf numFmtId="2" fontId="0" fillId="4" borderId="7" xfId="0" quotePrefix="1" applyNumberFormat="1" applyFill="1" applyBorder="1" applyAlignment="1">
      <alignment horizontal="center"/>
    </xf>
    <xf numFmtId="2" fontId="0" fillId="4" borderId="7" xfId="0" applyNumberFormat="1" applyFill="1" applyBorder="1" applyAlignment="1">
      <alignment horizontal="center"/>
    </xf>
    <xf numFmtId="0" fontId="0" fillId="4" borderId="7" xfId="0" quotePrefix="1" applyFill="1" applyBorder="1" applyAlignment="1">
      <alignment horizontal="center"/>
    </xf>
    <xf numFmtId="1" fontId="0" fillId="4" borderId="7" xfId="0" applyNumberFormat="1" applyFill="1" applyBorder="1"/>
    <xf numFmtId="1" fontId="0" fillId="5" borderId="7" xfId="0" applyNumberFormat="1" applyFill="1" applyBorder="1" applyAlignment="1" applyProtection="1">
      <alignment horizontal="center"/>
      <protection locked="0"/>
    </xf>
    <xf numFmtId="1" fontId="0" fillId="0" borderId="0" xfId="0" applyNumberFormat="1" applyAlignment="1">
      <alignment horizontal="center"/>
    </xf>
    <xf numFmtId="1" fontId="0" fillId="7" borderId="7" xfId="0" applyNumberFormat="1" applyFill="1" applyBorder="1" applyAlignment="1">
      <alignment horizontal="center"/>
    </xf>
    <xf numFmtId="165" fontId="0" fillId="7" borderId="7" xfId="0" applyNumberFormat="1" applyFont="1" applyFill="1" applyBorder="1" applyAlignment="1">
      <alignment horizontal="center"/>
    </xf>
    <xf numFmtId="165" fontId="43" fillId="7" borderId="7" xfId="0" applyNumberFormat="1" applyFont="1" applyFill="1" applyBorder="1" applyAlignment="1">
      <alignment horizontal="center"/>
    </xf>
    <xf numFmtId="0" fontId="0" fillId="0" borderId="0" xfId="0" applyFill="1" applyBorder="1"/>
    <xf numFmtId="2" fontId="0" fillId="0" borderId="0" xfId="0" applyNumberFormat="1" applyFill="1" applyBorder="1" applyAlignment="1">
      <alignment horizontal="center"/>
    </xf>
    <xf numFmtId="165" fontId="46" fillId="4" borderId="7" xfId="0" applyNumberFormat="1" applyFont="1" applyFill="1" applyBorder="1" applyAlignment="1">
      <alignment horizontal="center"/>
    </xf>
    <xf numFmtId="2" fontId="47" fillId="0" borderId="0" xfId="0" applyNumberFormat="1" applyFont="1" applyFill="1" applyBorder="1" applyAlignment="1">
      <alignment horizontal="center"/>
    </xf>
    <xf numFmtId="0" fontId="0" fillId="4" borderId="7" xfId="0" applyFont="1" applyFill="1" applyBorder="1" applyAlignment="1">
      <alignment horizontal="center"/>
    </xf>
    <xf numFmtId="165" fontId="0" fillId="4" borderId="7" xfId="0" quotePrefix="1" applyNumberFormat="1" applyFill="1" applyBorder="1" applyAlignment="1">
      <alignment horizontal="center"/>
    </xf>
    <xf numFmtId="165" fontId="0" fillId="4" borderId="7" xfId="0" applyNumberFormat="1" applyFill="1" applyBorder="1" applyAlignment="1">
      <alignment horizontal="left"/>
    </xf>
    <xf numFmtId="0" fontId="0" fillId="0" borderId="0" xfId="0" applyFill="1" applyBorder="1" applyAlignment="1">
      <alignment horizontal="left"/>
    </xf>
    <xf numFmtId="0" fontId="0" fillId="0" borderId="0" xfId="0" applyFill="1" applyBorder="1" applyAlignment="1">
      <alignment horizontal="center"/>
    </xf>
    <xf numFmtId="165" fontId="0" fillId="0" borderId="0" xfId="0" applyNumberFormat="1" applyFill="1" applyBorder="1" applyAlignment="1">
      <alignment horizontal="center"/>
    </xf>
    <xf numFmtId="0" fontId="43" fillId="0" borderId="0" xfId="0" applyFont="1" applyFill="1" applyBorder="1" applyAlignment="1">
      <alignment horizontal="center"/>
    </xf>
    <xf numFmtId="166" fontId="0" fillId="5" borderId="7" xfId="0" applyNumberFormat="1" applyFill="1" applyBorder="1" applyAlignment="1" applyProtection="1">
      <alignment horizontal="center"/>
      <protection locked="0"/>
    </xf>
    <xf numFmtId="2" fontId="0" fillId="0" borderId="0" xfId="0" applyNumberFormat="1" applyFill="1" applyBorder="1"/>
    <xf numFmtId="169" fontId="0" fillId="0" borderId="0" xfId="0" applyNumberFormat="1" applyFill="1" applyBorder="1" applyAlignment="1">
      <alignment horizontal="center"/>
    </xf>
    <xf numFmtId="1" fontId="0" fillId="7" borderId="7" xfId="0" applyNumberFormat="1" applyFill="1" applyBorder="1" applyAlignment="1" applyProtection="1">
      <alignment horizontal="center"/>
      <protection locked="0"/>
    </xf>
    <xf numFmtId="1" fontId="0" fillId="0" borderId="7" xfId="0" applyNumberFormat="1" applyFill="1" applyBorder="1" applyAlignment="1" applyProtection="1">
      <alignment horizontal="center"/>
      <protection locked="0"/>
    </xf>
    <xf numFmtId="165" fontId="48" fillId="0" borderId="2" xfId="0" applyNumberFormat="1" applyFont="1" applyFill="1" applyBorder="1" applyAlignment="1">
      <alignment horizontal="center"/>
    </xf>
    <xf numFmtId="165" fontId="48" fillId="0" borderId="0" xfId="0" applyNumberFormat="1" applyFont="1" applyFill="1" applyBorder="1" applyAlignment="1">
      <alignment horizontal="center"/>
    </xf>
    <xf numFmtId="1" fontId="43" fillId="7" borderId="7" xfId="0" applyNumberFormat="1" applyFont="1" applyFill="1" applyBorder="1" applyAlignment="1">
      <alignment horizontal="center"/>
    </xf>
    <xf numFmtId="0" fontId="0" fillId="0" borderId="0" xfId="0" applyAlignment="1">
      <alignment horizontal="center"/>
    </xf>
    <xf numFmtId="0" fontId="0" fillId="0" borderId="0" xfId="0" applyAlignment="1"/>
    <xf numFmtId="0" fontId="0" fillId="0" borderId="0" xfId="0" applyNumberFormat="1"/>
    <xf numFmtId="0" fontId="43" fillId="0" borderId="0" xfId="0" applyFont="1" applyBorder="1" applyAlignment="1">
      <alignment horizontal="center"/>
    </xf>
    <xf numFmtId="2" fontId="43" fillId="0" borderId="0" xfId="0" applyNumberFormat="1" applyFont="1" applyBorder="1" applyAlignment="1">
      <alignment horizontal="center"/>
    </xf>
    <xf numFmtId="1" fontId="43" fillId="0" borderId="0" xfId="0" applyNumberFormat="1" applyFont="1" applyBorder="1" applyAlignment="1">
      <alignment horizontal="center"/>
    </xf>
    <xf numFmtId="1" fontId="37" fillId="0" borderId="0" xfId="0" applyNumberFormat="1" applyFont="1" applyBorder="1" applyAlignment="1">
      <alignment horizontal="left"/>
    </xf>
    <xf numFmtId="0" fontId="49" fillId="0" borderId="0" xfId="0" applyFont="1"/>
    <xf numFmtId="0" fontId="0" fillId="0" borderId="1" xfId="0" applyFont="1" applyBorder="1"/>
    <xf numFmtId="0" fontId="49" fillId="0" borderId="0" xfId="0" applyFont="1" applyBorder="1"/>
    <xf numFmtId="164" fontId="49" fillId="0" borderId="0" xfId="0" applyNumberFormat="1" applyFont="1" applyBorder="1"/>
    <xf numFmtId="0" fontId="49" fillId="0" borderId="4" xfId="0" applyFont="1" applyBorder="1"/>
    <xf numFmtId="170" fontId="49" fillId="0" borderId="4" xfId="0" applyNumberFormat="1" applyFont="1" applyBorder="1"/>
    <xf numFmtId="0" fontId="50" fillId="0" borderId="0" xfId="0" applyFont="1"/>
    <xf numFmtId="164" fontId="50" fillId="0" borderId="0" xfId="0" applyNumberFormat="1" applyFont="1"/>
    <xf numFmtId="0" fontId="51" fillId="0" borderId="0" xfId="0" applyFont="1"/>
    <xf numFmtId="164" fontId="51" fillId="0" borderId="0" xfId="0" applyNumberFormat="1" applyFont="1"/>
    <xf numFmtId="9" fontId="0" fillId="0" borderId="2" xfId="0" applyNumberFormat="1" applyBorder="1"/>
    <xf numFmtId="2" fontId="0" fillId="0" borderId="2" xfId="0" applyNumberFormat="1" applyBorder="1"/>
    <xf numFmtId="164" fontId="0" fillId="0" borderId="2" xfId="0" applyNumberFormat="1" applyBorder="1"/>
    <xf numFmtId="0" fontId="52" fillId="0" borderId="0" xfId="0" applyFont="1" applyBorder="1"/>
    <xf numFmtId="0" fontId="29" fillId="0" borderId="72" xfId="0" applyFont="1" applyBorder="1"/>
    <xf numFmtId="0" fontId="29" fillId="0" borderId="73" xfId="0" applyFont="1" applyBorder="1"/>
    <xf numFmtId="0" fontId="29" fillId="0" borderId="74" xfId="0" applyFont="1" applyBorder="1"/>
    <xf numFmtId="0" fontId="29" fillId="0" borderId="0" xfId="0" applyFont="1" applyBorder="1"/>
    <xf numFmtId="2" fontId="29" fillId="0" borderId="0" xfId="0" applyNumberFormat="1" applyFont="1" applyBorder="1"/>
    <xf numFmtId="0" fontId="29" fillId="0" borderId="75" xfId="0" applyFont="1" applyBorder="1"/>
    <xf numFmtId="0" fontId="29" fillId="0" borderId="76" xfId="0" applyFont="1" applyBorder="1"/>
    <xf numFmtId="2" fontId="29" fillId="0" borderId="76" xfId="0" applyNumberFormat="1" applyFont="1" applyBorder="1"/>
    <xf numFmtId="0" fontId="53" fillId="2" borderId="0" xfId="2" applyFont="1" applyFill="1" applyProtection="1"/>
    <xf numFmtId="0" fontId="0" fillId="0" borderId="2" xfId="0" applyBorder="1"/>
    <xf numFmtId="0" fontId="0" fillId="0" borderId="0" xfId="0" applyBorder="1"/>
    <xf numFmtId="0" fontId="0" fillId="0" borderId="3" xfId="0" applyBorder="1"/>
    <xf numFmtId="3" fontId="0" fillId="0" borderId="0" xfId="0" applyNumberFormat="1"/>
    <xf numFmtId="0" fontId="54" fillId="0" borderId="0" xfId="0" applyFont="1"/>
    <xf numFmtId="0" fontId="0" fillId="0" borderId="0" xfId="0" applyAlignment="1">
      <alignment horizontal="left"/>
    </xf>
    <xf numFmtId="0" fontId="0" fillId="0" borderId="0" xfId="0" applyAlignment="1">
      <alignment horizontal="left" indent="1"/>
    </xf>
    <xf numFmtId="4" fontId="0" fillId="0" borderId="0" xfId="0" applyNumberFormat="1"/>
    <xf numFmtId="0" fontId="54" fillId="0" borderId="15" xfId="0" applyFont="1" applyBorder="1"/>
    <xf numFmtId="4" fontId="0" fillId="0" borderId="1" xfId="0" applyNumberFormat="1" applyBorder="1"/>
    <xf numFmtId="0" fontId="0" fillId="0" borderId="1" xfId="0" applyBorder="1"/>
    <xf numFmtId="0" fontId="0" fillId="0" borderId="12" xfId="0" applyBorder="1"/>
    <xf numFmtId="3" fontId="0" fillId="0" borderId="0" xfId="0" applyNumberFormat="1" applyBorder="1"/>
    <xf numFmtId="0" fontId="0" fillId="0" borderId="16" xfId="0" applyBorder="1"/>
    <xf numFmtId="0" fontId="31" fillId="0" borderId="4" xfId="0" applyFont="1" applyBorder="1"/>
    <xf numFmtId="0" fontId="0" fillId="0" borderId="2" xfId="0" applyFill="1" applyBorder="1"/>
    <xf numFmtId="0" fontId="54" fillId="0" borderId="15" xfId="0" applyFont="1" applyFill="1" applyBorder="1"/>
    <xf numFmtId="0" fontId="31" fillId="0" borderId="0" xfId="0" applyFont="1" applyBorder="1"/>
    <xf numFmtId="0" fontId="0" fillId="0" borderId="16" xfId="0" applyFill="1" applyBorder="1"/>
    <xf numFmtId="0" fontId="55" fillId="0" borderId="0" xfId="0" applyFont="1"/>
    <xf numFmtId="0" fontId="28" fillId="0" borderId="3" xfId="0" applyFont="1" applyBorder="1" applyAlignment="1"/>
    <xf numFmtId="0" fontId="31" fillId="8" borderId="13" xfId="0" applyFont="1" applyFill="1" applyBorder="1" applyAlignment="1"/>
    <xf numFmtId="9" fontId="0" fillId="0" borderId="13" xfId="0" applyNumberFormat="1" applyFont="1" applyFill="1" applyBorder="1" applyAlignment="1" applyProtection="1">
      <alignment horizontal="center"/>
    </xf>
    <xf numFmtId="9" fontId="0" fillId="0" borderId="0" xfId="0" applyNumberFormat="1"/>
    <xf numFmtId="0" fontId="0" fillId="0" borderId="17" xfId="0" applyBorder="1"/>
    <xf numFmtId="0" fontId="0" fillId="0" borderId="18" xfId="0" applyBorder="1"/>
    <xf numFmtId="10" fontId="0" fillId="0" borderId="0" xfId="0" applyNumberFormat="1" applyFill="1"/>
    <xf numFmtId="3" fontId="0" fillId="0" borderId="0" xfId="0" applyNumberFormat="1" applyFill="1"/>
    <xf numFmtId="0" fontId="0" fillId="0" borderId="6" xfId="0" applyFill="1" applyBorder="1" applyAlignment="1">
      <alignment horizontal="left"/>
    </xf>
    <xf numFmtId="0" fontId="0" fillId="0" borderId="0" xfId="0" applyBorder="1"/>
    <xf numFmtId="0" fontId="31" fillId="0" borderId="13" xfId="0" applyFont="1" applyBorder="1" applyAlignment="1">
      <alignment horizontal="center"/>
    </xf>
    <xf numFmtId="0" fontId="0" fillId="9" borderId="7" xfId="0" applyFill="1" applyBorder="1" applyAlignment="1" applyProtection="1">
      <alignment horizontal="center"/>
      <protection locked="0"/>
    </xf>
    <xf numFmtId="9" fontId="0" fillId="0" borderId="15" xfId="0" applyNumberFormat="1" applyFill="1" applyBorder="1" applyAlignment="1" applyProtection="1">
      <alignment horizontal="center"/>
    </xf>
    <xf numFmtId="9" fontId="0" fillId="0" borderId="2" xfId="0" applyNumberFormat="1" applyFill="1" applyBorder="1" applyAlignment="1" applyProtection="1">
      <alignment horizontal="center"/>
    </xf>
    <xf numFmtId="9" fontId="0" fillId="0" borderId="16" xfId="0" applyNumberFormat="1" applyFill="1" applyBorder="1" applyAlignment="1" applyProtection="1">
      <alignment horizontal="center"/>
    </xf>
    <xf numFmtId="0" fontId="0" fillId="0" borderId="6" xfId="0" applyFill="1" applyBorder="1" applyAlignment="1">
      <alignment horizontal="right"/>
    </xf>
    <xf numFmtId="0" fontId="31" fillId="0" borderId="7" xfId="0" applyFont="1" applyBorder="1" applyAlignment="1"/>
    <xf numFmtId="0" fontId="31" fillId="0" borderId="7" xfId="0" applyFont="1" applyBorder="1" applyAlignment="1">
      <alignment horizontal="center"/>
    </xf>
    <xf numFmtId="0" fontId="0" fillId="0" borderId="0" xfId="0" applyAlignment="1">
      <alignment horizontal="center"/>
    </xf>
    <xf numFmtId="0" fontId="0" fillId="0" borderId="0" xfId="0" applyAlignment="1" applyProtection="1">
      <alignment horizontal="center"/>
    </xf>
    <xf numFmtId="0" fontId="31" fillId="0" borderId="0" xfId="0" applyFont="1" applyBorder="1" applyAlignment="1" applyProtection="1"/>
    <xf numFmtId="0" fontId="31" fillId="0" borderId="3" xfId="0" applyFont="1" applyBorder="1" applyAlignment="1" applyProtection="1"/>
    <xf numFmtId="2" fontId="0" fillId="0" borderId="0" xfId="0" applyNumberFormat="1" applyFont="1" applyFill="1" applyBorder="1" applyAlignment="1" applyProtection="1"/>
    <xf numFmtId="0" fontId="0" fillId="0" borderId="3" xfId="0" applyFont="1" applyFill="1" applyBorder="1" applyAlignment="1" applyProtection="1"/>
    <xf numFmtId="0" fontId="0" fillId="0" borderId="2" xfId="0" applyBorder="1" applyAlignment="1"/>
    <xf numFmtId="165" fontId="0" fillId="4" borderId="7" xfId="0" applyNumberFormat="1" applyFill="1" applyBorder="1" applyAlignment="1" applyProtection="1">
      <alignment horizontal="right"/>
    </xf>
    <xf numFmtId="0" fontId="0" fillId="4" borderId="7" xfId="0" applyFill="1" applyBorder="1" applyAlignment="1" applyProtection="1">
      <alignment horizontal="center"/>
    </xf>
    <xf numFmtId="2" fontId="0" fillId="0" borderId="0" xfId="0" applyNumberFormat="1" applyProtection="1"/>
    <xf numFmtId="0" fontId="0" fillId="4" borderId="7" xfId="0" applyFill="1" applyBorder="1" applyAlignment="1" applyProtection="1">
      <alignment horizontal="right"/>
    </xf>
    <xf numFmtId="1" fontId="0" fillId="7" borderId="7" xfId="0" applyNumberFormat="1" applyFill="1" applyBorder="1" applyAlignment="1" applyProtection="1">
      <alignment horizontal="center"/>
    </xf>
    <xf numFmtId="11" fontId="0" fillId="7" borderId="7" xfId="0" applyNumberFormat="1" applyFill="1" applyBorder="1" applyProtection="1"/>
    <xf numFmtId="2" fontId="0" fillId="7" borderId="7" xfId="0" applyNumberFormat="1" applyFill="1" applyBorder="1" applyProtection="1"/>
    <xf numFmtId="171" fontId="0" fillId="7" borderId="7" xfId="0" applyNumberFormat="1" applyFill="1" applyBorder="1" applyAlignment="1" applyProtection="1">
      <alignment horizontal="center"/>
    </xf>
    <xf numFmtId="0" fontId="0" fillId="5" borderId="7" xfId="0" applyFill="1" applyBorder="1" applyAlignment="1" applyProtection="1">
      <alignment horizontal="center"/>
      <protection locked="0"/>
    </xf>
    <xf numFmtId="11" fontId="0" fillId="0" borderId="0" xfId="0" applyNumberFormat="1" applyProtection="1"/>
    <xf numFmtId="171" fontId="0" fillId="7" borderId="7" xfId="0" applyNumberFormat="1" applyFill="1" applyBorder="1" applyProtection="1"/>
    <xf numFmtId="9" fontId="0" fillId="5" borderId="7" xfId="0" applyNumberFormat="1" applyFill="1" applyBorder="1" applyAlignment="1" applyProtection="1">
      <alignment horizontal="center"/>
      <protection locked="0"/>
    </xf>
    <xf numFmtId="0" fontId="0" fillId="0" borderId="0" xfId="0" applyFill="1" applyBorder="1" applyAlignment="1" applyProtection="1">
      <alignment vertical="top" wrapText="1"/>
    </xf>
    <xf numFmtId="2" fontId="0" fillId="7" borderId="7" xfId="0" applyNumberFormat="1" applyFill="1" applyBorder="1" applyAlignment="1" applyProtection="1">
      <alignment horizontal="center"/>
    </xf>
    <xf numFmtId="169" fontId="56" fillId="7" borderId="7" xfId="0" applyNumberFormat="1" applyFont="1" applyFill="1" applyBorder="1" applyAlignment="1" applyProtection="1">
      <alignment horizontal="center"/>
    </xf>
    <xf numFmtId="0" fontId="0" fillId="0" borderId="0" xfId="0" applyAlignment="1" applyProtection="1">
      <alignment vertical="top" wrapText="1"/>
    </xf>
    <xf numFmtId="0" fontId="0" fillId="0" borderId="0" xfId="0" applyFill="1" applyBorder="1" applyAlignment="1">
      <alignment horizontal="right"/>
    </xf>
    <xf numFmtId="169" fontId="0" fillId="5" borderId="7" xfId="0" applyNumberFormat="1" applyFill="1" applyBorder="1" applyAlignment="1" applyProtection="1">
      <alignment horizontal="center"/>
      <protection locked="0"/>
    </xf>
    <xf numFmtId="164" fontId="0" fillId="7" borderId="7" xfId="0" applyNumberFormat="1" applyFill="1" applyBorder="1" applyAlignment="1" applyProtection="1">
      <alignment horizontal="center"/>
    </xf>
    <xf numFmtId="2" fontId="31" fillId="8" borderId="15" xfId="0" applyNumberFormat="1" applyFont="1" applyFill="1" applyBorder="1" applyAlignment="1" applyProtection="1">
      <alignment horizontal="right" vertical="center"/>
    </xf>
    <xf numFmtId="2" fontId="31" fillId="0" borderId="16" xfId="0" quotePrefix="1" applyNumberFormat="1" applyFont="1" applyBorder="1" applyAlignment="1" applyProtection="1">
      <alignment horizontal="right" vertical="center"/>
    </xf>
    <xf numFmtId="0" fontId="0" fillId="0" borderId="0" xfId="0" applyAlignment="1" applyProtection="1">
      <alignment horizontal="center"/>
    </xf>
    <xf numFmtId="166" fontId="0" fillId="0" borderId="1" xfId="0" applyNumberFormat="1" applyBorder="1"/>
    <xf numFmtId="9" fontId="0" fillId="0" borderId="12" xfId="0" applyNumberFormat="1" applyBorder="1"/>
    <xf numFmtId="0" fontId="6" fillId="0" borderId="0" xfId="2" applyFont="1" applyFill="1" applyAlignment="1">
      <alignment wrapText="1"/>
    </xf>
    <xf numFmtId="166" fontId="0" fillId="0" borderId="3" xfId="0" applyNumberFormat="1" applyBorder="1"/>
    <xf numFmtId="166" fontId="0" fillId="0" borderId="5" xfId="0" applyNumberFormat="1" applyBorder="1"/>
    <xf numFmtId="0" fontId="0" fillId="0" borderId="6" xfId="0" applyBorder="1"/>
    <xf numFmtId="0" fontId="0" fillId="0" borderId="14" xfId="0" applyBorder="1"/>
    <xf numFmtId="166" fontId="0" fillId="0" borderId="6" xfId="0" applyNumberFormat="1" applyBorder="1"/>
    <xf numFmtId="0" fontId="57" fillId="0" borderId="0" xfId="1" applyFont="1" applyAlignment="1" applyProtection="1"/>
    <xf numFmtId="0" fontId="0" fillId="0" borderId="0" xfId="0" applyFill="1" applyBorder="1" applyAlignment="1" applyProtection="1">
      <alignment horizontal="left"/>
      <protection locked="0"/>
    </xf>
    <xf numFmtId="0" fontId="29" fillId="0" borderId="77" xfId="0" applyFont="1" applyBorder="1"/>
    <xf numFmtId="0" fontId="29" fillId="0" borderId="78" xfId="0" applyFont="1" applyBorder="1"/>
    <xf numFmtId="0" fontId="29" fillId="0" borderId="79" xfId="0" applyFont="1" applyBorder="1"/>
    <xf numFmtId="0" fontId="0" fillId="0" borderId="6" xfId="0" applyBorder="1"/>
    <xf numFmtId="0" fontId="6" fillId="0" borderId="0" xfId="2" applyAlignment="1">
      <alignment horizontal="right"/>
    </xf>
    <xf numFmtId="0" fontId="0" fillId="0" borderId="3" xfId="0" applyBorder="1"/>
    <xf numFmtId="0" fontId="0" fillId="0" borderId="0" xfId="0" applyAlignment="1" applyProtection="1">
      <alignment horizontal="center"/>
    </xf>
    <xf numFmtId="0" fontId="0" fillId="0" borderId="0" xfId="0" applyBorder="1"/>
    <xf numFmtId="0" fontId="31" fillId="0" borderId="5" xfId="0" applyFont="1" applyBorder="1"/>
    <xf numFmtId="0" fontId="58" fillId="0" borderId="0" xfId="0" applyFont="1" applyBorder="1"/>
    <xf numFmtId="169" fontId="0" fillId="0" borderId="0" xfId="0" applyNumberFormat="1" applyBorder="1"/>
    <xf numFmtId="0" fontId="6" fillId="0" borderId="0" xfId="2" quotePrefix="1" applyFont="1"/>
    <xf numFmtId="0" fontId="6" fillId="0" borderId="0" xfId="2" quotePrefix="1" applyFont="1" applyAlignment="1">
      <alignment horizontal="right"/>
    </xf>
    <xf numFmtId="164" fontId="0" fillId="0" borderId="0" xfId="0" applyNumberFormat="1"/>
    <xf numFmtId="169" fontId="0" fillId="0" borderId="16" xfId="0" applyNumberFormat="1" applyBorder="1"/>
    <xf numFmtId="169" fontId="0" fillId="0" borderId="2" xfId="0" applyNumberFormat="1" applyBorder="1"/>
    <xf numFmtId="172" fontId="32" fillId="0" borderId="0" xfId="0" applyNumberFormat="1" applyFont="1"/>
    <xf numFmtId="173" fontId="32" fillId="0" borderId="0" xfId="0" applyNumberFormat="1" applyFont="1"/>
    <xf numFmtId="0" fontId="0" fillId="10" borderId="0" xfId="0" applyFill="1"/>
    <xf numFmtId="0" fontId="0" fillId="0" borderId="2" xfId="0" applyBorder="1"/>
    <xf numFmtId="0" fontId="0" fillId="0" borderId="0" xfId="0" applyBorder="1"/>
    <xf numFmtId="0" fontId="0" fillId="0" borderId="3" xfId="0" applyBorder="1"/>
    <xf numFmtId="0" fontId="0" fillId="0" borderId="0" xfId="0" applyBorder="1" applyAlignment="1">
      <alignment vertical="center" wrapText="1"/>
    </xf>
    <xf numFmtId="0" fontId="0" fillId="0" borderId="3" xfId="0" applyBorder="1" applyAlignment="1">
      <alignment vertical="center" wrapText="1"/>
    </xf>
    <xf numFmtId="0" fontId="59" fillId="0" borderId="0" xfId="0" applyFont="1" applyAlignment="1">
      <alignment horizontal="left"/>
    </xf>
    <xf numFmtId="0" fontId="0" fillId="0" borderId="0" xfId="0" applyBorder="1"/>
    <xf numFmtId="0" fontId="0" fillId="3" borderId="0" xfId="0" applyFill="1"/>
    <xf numFmtId="0" fontId="0" fillId="3" borderId="19" xfId="0" applyFill="1" applyBorder="1"/>
    <xf numFmtId="0" fontId="0" fillId="3" borderId="0" xfId="0" applyFill="1" applyProtection="1">
      <protection locked="0"/>
    </xf>
    <xf numFmtId="0" fontId="60" fillId="0" borderId="0" xfId="0" applyFont="1"/>
    <xf numFmtId="0" fontId="61" fillId="0" borderId="0" xfId="0" applyFont="1"/>
    <xf numFmtId="164" fontId="61" fillId="0" borderId="0" xfId="0" applyNumberFormat="1" applyFont="1"/>
    <xf numFmtId="0" fontId="61" fillId="0" borderId="0" xfId="0" applyFont="1" applyBorder="1"/>
    <xf numFmtId="164" fontId="32" fillId="0" borderId="0" xfId="0" applyNumberFormat="1" applyFont="1"/>
    <xf numFmtId="0" fontId="31" fillId="0" borderId="7" xfId="0" applyFont="1" applyBorder="1" applyAlignment="1" applyProtection="1">
      <alignment horizontal="center"/>
    </xf>
    <xf numFmtId="0" fontId="31" fillId="0" borderId="7" xfId="0" applyFont="1" applyBorder="1" applyAlignment="1">
      <alignment horizontal="center" vertical="center"/>
    </xf>
    <xf numFmtId="0" fontId="40" fillId="0" borderId="0" xfId="0" applyFont="1" applyAlignment="1">
      <alignment horizontal="center"/>
    </xf>
    <xf numFmtId="0" fontId="39" fillId="0" borderId="0" xfId="0" applyFont="1" applyAlignment="1">
      <alignment horizontal="right"/>
    </xf>
    <xf numFmtId="0" fontId="39" fillId="0" borderId="0" xfId="0" applyFont="1" applyAlignment="1">
      <alignment horizontal="left"/>
    </xf>
    <xf numFmtId="0" fontId="0" fillId="0" borderId="1" xfId="0" applyBorder="1" applyAlignment="1">
      <alignment vertical="top" wrapText="1"/>
    </xf>
    <xf numFmtId="0" fontId="0" fillId="0" borderId="12" xfId="0" applyBorder="1" applyAlignment="1">
      <alignment vertical="top" wrapText="1"/>
    </xf>
    <xf numFmtId="2" fontId="0" fillId="0" borderId="1" xfId="0" applyNumberFormat="1" applyBorder="1" applyAlignment="1">
      <alignment vertical="top" wrapText="1"/>
    </xf>
    <xf numFmtId="0" fontId="0" fillId="0" borderId="0" xfId="0" applyProtection="1">
      <protection locked="0"/>
    </xf>
    <xf numFmtId="0" fontId="62" fillId="0" borderId="0" xfId="0" applyFont="1" applyAlignment="1">
      <alignment horizontal="left" vertical="center" indent="3"/>
    </xf>
    <xf numFmtId="0" fontId="63" fillId="0" borderId="0" xfId="0" applyFont="1"/>
    <xf numFmtId="0" fontId="0" fillId="0" borderId="0" xfId="0" applyAlignment="1">
      <alignment horizontal="left" vertical="center" indent="1"/>
    </xf>
    <xf numFmtId="0" fontId="44" fillId="0" borderId="0" xfId="0" applyFont="1" applyAlignment="1">
      <alignment vertical="center"/>
    </xf>
    <xf numFmtId="0" fontId="0" fillId="0" borderId="0" xfId="0" applyBorder="1"/>
    <xf numFmtId="0" fontId="0" fillId="0" borderId="20" xfId="0" applyBorder="1"/>
    <xf numFmtId="0" fontId="0" fillId="0" borderId="1" xfId="0" applyBorder="1"/>
    <xf numFmtId="0" fontId="0" fillId="0" borderId="0" xfId="0" applyBorder="1"/>
    <xf numFmtId="0" fontId="0" fillId="0" borderId="0" xfId="0" applyBorder="1" applyAlignment="1">
      <alignment horizontal="center"/>
    </xf>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31" fillId="0" borderId="22" xfId="0" applyFont="1" applyBorder="1"/>
    <xf numFmtId="0" fontId="0" fillId="0" borderId="22" xfId="0" applyBorder="1" applyAlignment="1">
      <alignment horizontal="center"/>
    </xf>
    <xf numFmtId="0" fontId="31" fillId="0" borderId="22" xfId="0" applyFont="1" applyBorder="1" applyAlignment="1">
      <alignment horizontal="left"/>
    </xf>
    <xf numFmtId="0" fontId="0" fillId="0" borderId="0" xfId="0" applyAlignment="1" applyProtection="1">
      <alignment horizontal="center"/>
    </xf>
    <xf numFmtId="0" fontId="0" fillId="0" borderId="0" xfId="0" applyBorder="1"/>
    <xf numFmtId="0" fontId="0" fillId="0" borderId="0" xfId="0" applyBorder="1"/>
    <xf numFmtId="0" fontId="52" fillId="0" borderId="80" xfId="0" applyFont="1" applyBorder="1" applyAlignment="1" applyProtection="1">
      <alignment vertical="top" wrapText="1"/>
    </xf>
    <xf numFmtId="0" fontId="52" fillId="0" borderId="0" xfId="0" applyFont="1" applyBorder="1" applyAlignment="1" applyProtection="1">
      <alignment vertical="top" wrapText="1"/>
    </xf>
    <xf numFmtId="0" fontId="0" fillId="0" borderId="21" xfId="0" applyBorder="1"/>
    <xf numFmtId="0" fontId="52" fillId="0" borderId="22" xfId="0" applyFont="1" applyBorder="1" applyAlignment="1" applyProtection="1">
      <alignment vertical="top" wrapText="1"/>
    </xf>
    <xf numFmtId="0" fontId="52" fillId="0" borderId="23" xfId="0" applyFont="1" applyBorder="1" applyAlignment="1" applyProtection="1">
      <alignment vertical="top" wrapText="1"/>
    </xf>
    <xf numFmtId="0" fontId="0" fillId="0" borderId="24" xfId="0" applyBorder="1"/>
    <xf numFmtId="0" fontId="52" fillId="0" borderId="25" xfId="0" applyFont="1" applyBorder="1" applyAlignment="1" applyProtection="1">
      <alignment vertical="top" wrapText="1"/>
    </xf>
    <xf numFmtId="0" fontId="0" fillId="0" borderId="25" xfId="0" applyBorder="1"/>
    <xf numFmtId="0" fontId="0" fillId="0" borderId="26" xfId="0" applyBorder="1"/>
    <xf numFmtId="0" fontId="0" fillId="0" borderId="27" xfId="0" applyBorder="1"/>
    <xf numFmtId="0" fontId="0" fillId="0" borderId="28" xfId="0" applyBorder="1"/>
    <xf numFmtId="0" fontId="39" fillId="0" borderId="0" xfId="0" applyNumberFormat="1" applyFont="1"/>
    <xf numFmtId="0" fontId="0" fillId="11" borderId="10" xfId="0" applyFill="1" applyBorder="1" applyAlignment="1" applyProtection="1">
      <alignment horizontal="center"/>
      <protection locked="0"/>
    </xf>
    <xf numFmtId="0" fontId="0" fillId="11" borderId="8" xfId="0" applyFill="1" applyBorder="1" applyAlignment="1" applyProtection="1">
      <alignment horizontal="center"/>
      <protection locked="0"/>
    </xf>
    <xf numFmtId="0" fontId="0" fillId="11" borderId="9" xfId="0" applyFill="1" applyBorder="1" applyAlignment="1" applyProtection="1">
      <alignment horizontal="center"/>
      <protection locked="0"/>
    </xf>
    <xf numFmtId="0" fontId="0" fillId="11" borderId="10" xfId="0" applyFont="1" applyFill="1" applyBorder="1" applyAlignment="1" applyProtection="1">
      <alignment horizontal="center"/>
      <protection locked="0"/>
    </xf>
    <xf numFmtId="0" fontId="0" fillId="11" borderId="8" xfId="0" applyFont="1" applyFill="1" applyBorder="1" applyAlignment="1" applyProtection="1">
      <alignment horizontal="center"/>
      <protection locked="0"/>
    </xf>
    <xf numFmtId="0" fontId="39" fillId="11" borderId="10" xfId="0" applyFont="1" applyFill="1" applyBorder="1" applyAlignment="1" applyProtection="1">
      <alignment horizontal="center"/>
      <protection locked="0"/>
    </xf>
    <xf numFmtId="0" fontId="39" fillId="11" borderId="8" xfId="0" applyFont="1" applyFill="1" applyBorder="1" applyAlignment="1" applyProtection="1">
      <alignment horizontal="center"/>
      <protection locked="0"/>
    </xf>
    <xf numFmtId="0" fontId="39" fillId="11" borderId="9" xfId="0" applyFont="1" applyFill="1" applyBorder="1" applyAlignment="1" applyProtection="1">
      <alignment horizontal="center"/>
      <protection locked="0"/>
    </xf>
    <xf numFmtId="3" fontId="0" fillId="11" borderId="7" xfId="0" applyNumberFormat="1" applyFont="1" applyFill="1" applyBorder="1" applyAlignment="1" applyProtection="1">
      <alignment horizontal="center"/>
      <protection locked="0"/>
    </xf>
    <xf numFmtId="0" fontId="0" fillId="11" borderId="7" xfId="0" applyFill="1" applyBorder="1" applyAlignment="1" applyProtection="1">
      <alignment horizontal="center"/>
      <protection locked="0"/>
    </xf>
    <xf numFmtId="0" fontId="0" fillId="11" borderId="7" xfId="0" applyFill="1" applyBorder="1" applyAlignment="1" applyProtection="1">
      <alignment horizontal="center" vertical="center"/>
      <protection locked="0"/>
    </xf>
    <xf numFmtId="169" fontId="0" fillId="11" borderId="7" xfId="0" applyNumberFormat="1" applyFill="1" applyBorder="1" applyAlignment="1" applyProtection="1">
      <alignment horizontal="left"/>
      <protection locked="0"/>
    </xf>
    <xf numFmtId="0" fontId="6" fillId="11" borderId="0" xfId="2" applyFill="1" applyProtection="1">
      <protection locked="0"/>
    </xf>
    <xf numFmtId="0" fontId="6" fillId="11" borderId="0" xfId="2" applyFill="1" applyAlignment="1" applyProtection="1">
      <alignment horizontal="right"/>
      <protection locked="0"/>
    </xf>
    <xf numFmtId="0" fontId="6" fillId="11" borderId="0" xfId="2" applyFill="1" applyAlignment="1" applyProtection="1">
      <alignment horizontal="center"/>
      <protection locked="0"/>
    </xf>
    <xf numFmtId="0" fontId="6" fillId="11" borderId="0" xfId="2" applyFont="1" applyFill="1" applyAlignment="1" applyProtection="1">
      <alignment horizontal="center"/>
      <protection locked="0"/>
    </xf>
    <xf numFmtId="0" fontId="6" fillId="12" borderId="0" xfId="2" applyNumberFormat="1" applyFont="1" applyFill="1" applyBorder="1" applyAlignment="1" applyProtection="1">
      <protection locked="0"/>
    </xf>
    <xf numFmtId="0" fontId="35" fillId="12" borderId="0" xfId="2" applyNumberFormat="1" applyFont="1" applyFill="1" applyBorder="1" applyAlignment="1" applyProtection="1">
      <protection locked="0"/>
    </xf>
    <xf numFmtId="0" fontId="6" fillId="11" borderId="0" xfId="2" applyFont="1" applyFill="1" applyProtection="1">
      <protection locked="0"/>
    </xf>
    <xf numFmtId="0" fontId="31" fillId="0" borderId="0" xfId="2" applyFont="1"/>
    <xf numFmtId="0" fontId="64" fillId="11" borderId="0" xfId="0" applyFont="1" applyFill="1" applyProtection="1">
      <protection locked="0"/>
    </xf>
    <xf numFmtId="165" fontId="64" fillId="11" borderId="0" xfId="0" applyNumberFormat="1" applyFont="1" applyFill="1" applyProtection="1">
      <protection locked="0"/>
    </xf>
    <xf numFmtId="0" fontId="6" fillId="11" borderId="0" xfId="2" applyFill="1" applyAlignment="1">
      <alignment horizontal="center"/>
    </xf>
    <xf numFmtId="0" fontId="0" fillId="11" borderId="0" xfId="0" applyFill="1" applyProtection="1">
      <protection locked="0"/>
    </xf>
    <xf numFmtId="0" fontId="0" fillId="0" borderId="3" xfId="0" applyBorder="1"/>
    <xf numFmtId="0" fontId="65" fillId="0" borderId="0" xfId="0" applyFont="1"/>
    <xf numFmtId="0" fontId="65" fillId="0" borderId="0" xfId="0" quotePrefix="1" applyFont="1"/>
    <xf numFmtId="164" fontId="0" fillId="11" borderId="7" xfId="0" applyNumberFormat="1" applyFont="1" applyFill="1" applyBorder="1" applyAlignment="1" applyProtection="1">
      <alignment horizontal="center"/>
      <protection locked="0"/>
    </xf>
    <xf numFmtId="164" fontId="0" fillId="0" borderId="14" xfId="0" applyNumberFormat="1" applyFill="1" applyBorder="1" applyAlignment="1" applyProtection="1">
      <alignment horizontal="center"/>
    </xf>
    <xf numFmtId="0" fontId="0" fillId="0" borderId="3" xfId="0" applyBorder="1"/>
    <xf numFmtId="0" fontId="0" fillId="0" borderId="13" xfId="0" applyBorder="1" applyAlignment="1">
      <alignment horizontal="right"/>
    </xf>
    <xf numFmtId="165" fontId="0" fillId="0" borderId="14" xfId="0" applyNumberFormat="1" applyBorder="1" applyAlignment="1">
      <alignment horizontal="center"/>
    </xf>
    <xf numFmtId="0" fontId="0" fillId="2" borderId="14" xfId="0" applyFill="1" applyBorder="1" applyAlignment="1"/>
    <xf numFmtId="0" fontId="0" fillId="0" borderId="7" xfId="0" applyBorder="1"/>
    <xf numFmtId="0" fontId="0" fillId="0" borderId="7" xfId="0" applyFill="1" applyBorder="1" applyAlignment="1" applyProtection="1">
      <alignment horizontal="center"/>
    </xf>
    <xf numFmtId="0" fontId="0" fillId="0" borderId="0" xfId="0" applyBorder="1" applyAlignment="1">
      <alignment horizontal="center"/>
    </xf>
    <xf numFmtId="0" fontId="0" fillId="11" borderId="8" xfId="0" applyFill="1" applyBorder="1" applyAlignment="1" applyProtection="1">
      <alignment horizontal="center"/>
      <protection locked="0"/>
    </xf>
    <xf numFmtId="0" fontId="0" fillId="11" borderId="9" xfId="0" applyFill="1" applyBorder="1" applyAlignment="1" applyProtection="1">
      <alignment horizontal="center"/>
      <protection locked="0"/>
    </xf>
    <xf numFmtId="0" fontId="0" fillId="11" borderId="10" xfId="0" applyFill="1" applyBorder="1" applyAlignment="1" applyProtection="1">
      <alignment horizontal="center"/>
      <protection locked="0"/>
    </xf>
    <xf numFmtId="0" fontId="0" fillId="0" borderId="0" xfId="0" applyBorder="1" applyAlignment="1" applyProtection="1">
      <alignment horizontal="center"/>
      <protection locked="0"/>
    </xf>
    <xf numFmtId="169" fontId="31" fillId="0" borderId="14" xfId="0" applyNumberFormat="1" applyFont="1" applyBorder="1" applyAlignment="1" applyProtection="1">
      <alignment horizontal="center" vertical="center"/>
    </xf>
    <xf numFmtId="169" fontId="0" fillId="11" borderId="7" xfId="0" applyNumberFormat="1" applyFont="1" applyFill="1" applyBorder="1" applyAlignment="1" applyProtection="1">
      <alignment horizontal="center" vertical="center"/>
      <protection locked="0"/>
    </xf>
    <xf numFmtId="1" fontId="0" fillId="11" borderId="7" xfId="0" applyNumberFormat="1" applyFont="1" applyFill="1" applyBorder="1" applyAlignment="1" applyProtection="1">
      <alignment horizontal="center" vertical="center"/>
      <protection locked="0"/>
    </xf>
    <xf numFmtId="0" fontId="0" fillId="11" borderId="10" xfId="0" applyFill="1" applyBorder="1" applyAlignment="1" applyProtection="1">
      <alignment horizontal="center"/>
      <protection locked="0"/>
    </xf>
    <xf numFmtId="168" fontId="0" fillId="0" borderId="0" xfId="0" applyNumberFormat="1"/>
    <xf numFmtId="0" fontId="7" fillId="0" borderId="4" xfId="3" applyBorder="1" applyAlignment="1">
      <alignment horizontal="right"/>
    </xf>
    <xf numFmtId="0" fontId="7" fillId="0" borderId="4" xfId="3" applyBorder="1"/>
    <xf numFmtId="0" fontId="6" fillId="0" borderId="4" xfId="3" applyFont="1" applyBorder="1" applyAlignment="1">
      <alignment horizontal="right"/>
    </xf>
    <xf numFmtId="0" fontId="6" fillId="0" borderId="4" xfId="3" applyFont="1" applyBorder="1"/>
    <xf numFmtId="0" fontId="6" fillId="0" borderId="4" xfId="3" applyFont="1" applyFill="1" applyBorder="1"/>
    <xf numFmtId="0" fontId="9" fillId="0" borderId="0" xfId="2" applyFont="1" applyAlignment="1">
      <alignment horizontal="center" wrapText="1"/>
    </xf>
    <xf numFmtId="0" fontId="9" fillId="0" borderId="0" xfId="2" applyFont="1" applyAlignment="1">
      <alignment horizontal="center"/>
    </xf>
    <xf numFmtId="0" fontId="9" fillId="0" borderId="0" xfId="2" applyFont="1" applyAlignment="1">
      <alignment wrapText="1"/>
    </xf>
    <xf numFmtId="0" fontId="7" fillId="0" borderId="1" xfId="3" applyBorder="1"/>
    <xf numFmtId="0" fontId="35" fillId="11" borderId="0" xfId="2" applyFont="1" applyFill="1" applyAlignment="1" applyProtection="1">
      <alignment horizontal="right"/>
      <protection locked="0"/>
    </xf>
    <xf numFmtId="0" fontId="0" fillId="13" borderId="0" xfId="0" applyFont="1" applyFill="1" applyBorder="1"/>
    <xf numFmtId="0" fontId="31" fillId="0" borderId="0" xfId="0" applyFont="1" applyBorder="1" applyAlignment="1">
      <alignment horizontal="center" vertical="center"/>
    </xf>
    <xf numFmtId="165" fontId="31" fillId="0" borderId="0" xfId="0" applyNumberFormat="1" applyFont="1" applyBorder="1" applyAlignment="1">
      <alignment horizontal="center" vertical="center"/>
    </xf>
    <xf numFmtId="0" fontId="6" fillId="11" borderId="0" xfId="2" applyFill="1"/>
    <xf numFmtId="0" fontId="0" fillId="11" borderId="8" xfId="0" applyFill="1" applyBorder="1" applyAlignment="1" applyProtection="1">
      <alignment horizontal="center"/>
      <protection locked="0"/>
    </xf>
    <xf numFmtId="0" fontId="0" fillId="11" borderId="8" xfId="0" applyFont="1" applyFill="1" applyBorder="1" applyAlignment="1" applyProtection="1">
      <alignment horizontal="center"/>
      <protection locked="0"/>
    </xf>
    <xf numFmtId="0" fontId="0" fillId="11" borderId="8" xfId="0" applyFill="1" applyBorder="1" applyAlignment="1" applyProtection="1">
      <alignment horizontal="center"/>
      <protection locked="0"/>
    </xf>
    <xf numFmtId="0" fontId="0" fillId="11" borderId="0" xfId="0" quotePrefix="1" applyFill="1" applyAlignment="1" applyProtection="1">
      <alignment horizontal="center"/>
      <protection locked="0"/>
    </xf>
    <xf numFmtId="0" fontId="0" fillId="11" borderId="0" xfId="0" applyFill="1" applyAlignment="1" applyProtection="1">
      <alignment horizontal="center"/>
      <protection locked="0"/>
    </xf>
    <xf numFmtId="0" fontId="0" fillId="11" borderId="8" xfId="0" applyFill="1" applyBorder="1" applyAlignment="1" applyProtection="1">
      <alignment horizontal="center"/>
      <protection locked="0"/>
    </xf>
    <xf numFmtId="0" fontId="5" fillId="0" borderId="0" xfId="0" applyFont="1"/>
    <xf numFmtId="0" fontId="5" fillId="0" borderId="0" xfId="0" applyFont="1" applyAlignment="1">
      <alignment horizontal="left"/>
    </xf>
    <xf numFmtId="0" fontId="5" fillId="0" borderId="0" xfId="0" applyFont="1" applyAlignment="1">
      <alignment horizontal="center"/>
    </xf>
    <xf numFmtId="0" fontId="40" fillId="0" borderId="0" xfId="0" applyFont="1" applyAlignment="1">
      <alignment horizontal="center"/>
    </xf>
    <xf numFmtId="0" fontId="4" fillId="0" borderId="0" xfId="0" applyFont="1"/>
    <xf numFmtId="0" fontId="4" fillId="0" borderId="0" xfId="0" applyFont="1" applyAlignment="1">
      <alignment horizontal="right"/>
    </xf>
    <xf numFmtId="2" fontId="39" fillId="0" borderId="0" xfId="0" applyNumberFormat="1" applyFont="1" applyAlignment="1">
      <alignment horizontal="center"/>
    </xf>
    <xf numFmtId="0" fontId="4" fillId="16" borderId="0" xfId="0" applyFont="1" applyFill="1" applyAlignment="1">
      <alignment horizontal="right"/>
    </xf>
    <xf numFmtId="0" fontId="4" fillId="16" borderId="0" xfId="0" applyFont="1" applyFill="1"/>
    <xf numFmtId="0" fontId="0" fillId="16" borderId="0" xfId="0" applyFill="1"/>
    <xf numFmtId="0" fontId="39" fillId="16" borderId="0" xfId="0" applyFont="1" applyFill="1"/>
    <xf numFmtId="0" fontId="0" fillId="11" borderId="8" xfId="0" applyFill="1" applyBorder="1" applyAlignment="1" applyProtection="1">
      <alignment horizontal="center"/>
      <protection locked="0"/>
    </xf>
    <xf numFmtId="0" fontId="0" fillId="11" borderId="8" xfId="0" applyFill="1" applyBorder="1" applyAlignment="1" applyProtection="1">
      <alignment horizontal="center"/>
      <protection locked="0"/>
    </xf>
    <xf numFmtId="0" fontId="0" fillId="11" borderId="10" xfId="0" applyFont="1" applyFill="1" applyBorder="1" applyAlignment="1" applyProtection="1">
      <alignment horizontal="center"/>
      <protection locked="0"/>
    </xf>
    <xf numFmtId="0" fontId="0" fillId="11" borderId="8" xfId="0" applyFont="1" applyFill="1" applyBorder="1" applyAlignment="1" applyProtection="1">
      <alignment horizontal="center"/>
      <protection locked="0"/>
    </xf>
    <xf numFmtId="0" fontId="3" fillId="0" borderId="0" xfId="0" applyFont="1"/>
    <xf numFmtId="0" fontId="2" fillId="16" borderId="0" xfId="0" applyFont="1" applyFill="1"/>
    <xf numFmtId="0" fontId="73" fillId="0" borderId="0" xfId="0" applyFont="1"/>
    <xf numFmtId="0" fontId="1" fillId="16" borderId="0" xfId="0" applyFont="1" applyFill="1"/>
    <xf numFmtId="0" fontId="2" fillId="16" borderId="0" xfId="0" applyFont="1" applyFill="1" applyAlignment="1">
      <alignment horizontal="left"/>
    </xf>
    <xf numFmtId="0" fontId="4" fillId="16" borderId="0" xfId="0" applyFont="1" applyFill="1" applyAlignment="1">
      <alignment horizontal="center"/>
    </xf>
    <xf numFmtId="0" fontId="4" fillId="16" borderId="0" xfId="0" applyFont="1" applyFill="1" applyAlignment="1">
      <alignment horizontal="left"/>
    </xf>
    <xf numFmtId="0" fontId="0" fillId="0" borderId="0" xfId="0" applyAlignment="1">
      <alignment horizontal="center"/>
    </xf>
    <xf numFmtId="0" fontId="0" fillId="11" borderId="8" xfId="0" applyFill="1" applyBorder="1" applyAlignment="1" applyProtection="1">
      <alignment horizontal="center"/>
      <protection locked="0"/>
    </xf>
    <xf numFmtId="0" fontId="0" fillId="11" borderId="10" xfId="0" applyFill="1" applyBorder="1" applyAlignment="1" applyProtection="1">
      <alignment horizontal="center"/>
      <protection locked="0"/>
    </xf>
    <xf numFmtId="0" fontId="0" fillId="11" borderId="8" xfId="0" applyFont="1" applyFill="1" applyBorder="1" applyAlignment="1" applyProtection="1">
      <alignment horizontal="center"/>
      <protection locked="0"/>
    </xf>
    <xf numFmtId="165" fontId="4" fillId="16" borderId="0" xfId="0" applyNumberFormat="1" applyFont="1" applyFill="1"/>
    <xf numFmtId="0" fontId="39" fillId="0" borderId="0" xfId="0" applyFont="1" applyAlignment="1"/>
    <xf numFmtId="0" fontId="0" fillId="11" borderId="13" xfId="0" applyFill="1" applyBorder="1" applyAlignment="1" applyProtection="1">
      <alignment horizontal="center"/>
      <protection locked="0"/>
    </xf>
    <xf numFmtId="0" fontId="0" fillId="11" borderId="6" xfId="0" applyFill="1" applyBorder="1" applyAlignment="1" applyProtection="1">
      <alignment horizontal="center"/>
      <protection locked="0"/>
    </xf>
    <xf numFmtId="0" fontId="0" fillId="11" borderId="14" xfId="0" applyFill="1" applyBorder="1" applyAlignment="1" applyProtection="1">
      <alignment horizontal="center"/>
      <protection locked="0"/>
    </xf>
    <xf numFmtId="0" fontId="0" fillId="0" borderId="0" xfId="0" applyFont="1" applyAlignment="1">
      <alignment horizontal="center"/>
    </xf>
    <xf numFmtId="0" fontId="0" fillId="0" borderId="0" xfId="0" applyAlignment="1">
      <alignment horizontal="center"/>
    </xf>
    <xf numFmtId="0" fontId="0" fillId="0" borderId="4" xfId="0" applyBorder="1" applyAlignment="1">
      <alignment horizontal="center"/>
    </xf>
    <xf numFmtId="164" fontId="0" fillId="11" borderId="13" xfId="0" applyNumberFormat="1" applyFill="1" applyBorder="1" applyAlignment="1" applyProtection="1">
      <alignment horizontal="center"/>
      <protection locked="0"/>
    </xf>
    <xf numFmtId="164" fontId="0" fillId="11" borderId="6" xfId="0" applyNumberFormat="1" applyFill="1" applyBorder="1" applyAlignment="1" applyProtection="1">
      <alignment horizontal="center"/>
      <protection locked="0"/>
    </xf>
    <xf numFmtId="164" fontId="0" fillId="11" borderId="14" xfId="0" applyNumberFormat="1" applyFill="1" applyBorder="1" applyAlignment="1" applyProtection="1">
      <alignment horizontal="center"/>
      <protection locked="0"/>
    </xf>
    <xf numFmtId="2" fontId="0" fillId="0" borderId="0" xfId="0" applyNumberFormat="1" applyFill="1" applyBorder="1" applyAlignment="1" applyProtection="1">
      <alignment horizontal="center"/>
    </xf>
    <xf numFmtId="0" fontId="0" fillId="0" borderId="0"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22" xfId="0" applyBorder="1" applyAlignment="1">
      <alignment horizontal="center"/>
    </xf>
    <xf numFmtId="0" fontId="0" fillId="0" borderId="27" xfId="0" applyBorder="1" applyAlignment="1">
      <alignment horizontal="center"/>
    </xf>
    <xf numFmtId="2" fontId="0" fillId="11" borderId="13" xfId="0" applyNumberFormat="1" applyFill="1" applyBorder="1" applyAlignment="1" applyProtection="1">
      <alignment horizontal="center"/>
      <protection locked="0"/>
    </xf>
    <xf numFmtId="2" fontId="0" fillId="11" borderId="6" xfId="0" applyNumberFormat="1" applyFill="1" applyBorder="1" applyAlignment="1" applyProtection="1">
      <alignment horizontal="center"/>
      <protection locked="0"/>
    </xf>
    <xf numFmtId="2" fontId="0" fillId="11" borderId="14" xfId="0" applyNumberFormat="1" applyFill="1" applyBorder="1" applyAlignment="1" applyProtection="1">
      <alignment horizontal="center"/>
      <protection locked="0"/>
    </xf>
    <xf numFmtId="165" fontId="0" fillId="11" borderId="13" xfId="0" applyNumberFormat="1" applyFill="1" applyBorder="1" applyAlignment="1" applyProtection="1">
      <alignment horizontal="center"/>
      <protection locked="0"/>
    </xf>
    <xf numFmtId="165" fontId="0" fillId="11" borderId="6" xfId="0" applyNumberFormat="1" applyFill="1" applyBorder="1" applyAlignment="1" applyProtection="1">
      <alignment horizontal="center"/>
      <protection locked="0"/>
    </xf>
    <xf numFmtId="165" fontId="0" fillId="11" borderId="14" xfId="0" applyNumberFormat="1" applyFill="1" applyBorder="1" applyAlignment="1" applyProtection="1">
      <alignment horizontal="center"/>
      <protection locked="0"/>
    </xf>
    <xf numFmtId="0" fontId="0" fillId="11" borderId="13" xfId="0" applyFont="1" applyFill="1" applyBorder="1" applyAlignment="1" applyProtection="1">
      <alignment horizontal="center"/>
      <protection locked="0"/>
    </xf>
    <xf numFmtId="0" fontId="0" fillId="11" borderId="6" xfId="0" applyFont="1" applyFill="1" applyBorder="1" applyAlignment="1" applyProtection="1">
      <alignment horizontal="center"/>
      <protection locked="0"/>
    </xf>
    <xf numFmtId="0" fontId="0" fillId="11" borderId="14" xfId="0" applyFont="1" applyFill="1" applyBorder="1" applyAlignment="1" applyProtection="1">
      <alignment horizontal="center"/>
      <protection locked="0"/>
    </xf>
    <xf numFmtId="166" fontId="0" fillId="11" borderId="13" xfId="0" applyNumberFormat="1" applyFont="1" applyFill="1" applyBorder="1" applyAlignment="1" applyProtection="1">
      <alignment horizontal="center"/>
      <protection locked="0"/>
    </xf>
    <xf numFmtId="166" fontId="0" fillId="11" borderId="6" xfId="0" applyNumberFormat="1" applyFont="1" applyFill="1" applyBorder="1" applyAlignment="1" applyProtection="1">
      <alignment horizontal="center"/>
      <protection locked="0"/>
    </xf>
    <xf numFmtId="166" fontId="0" fillId="11" borderId="14" xfId="0" applyNumberFormat="1" applyFont="1" applyFill="1" applyBorder="1" applyAlignment="1" applyProtection="1">
      <alignment horizontal="center"/>
      <protection locked="0"/>
    </xf>
    <xf numFmtId="0" fontId="0" fillId="0" borderId="29" xfId="0" applyFont="1" applyBorder="1" applyAlignment="1">
      <alignment horizontal="center"/>
    </xf>
    <xf numFmtId="0" fontId="0" fillId="0" borderId="4" xfId="0" applyFont="1" applyBorder="1" applyAlignment="1">
      <alignment horizontal="center"/>
    </xf>
    <xf numFmtId="0" fontId="0" fillId="0" borderId="30" xfId="0" applyFont="1" applyBorder="1" applyAlignment="1">
      <alignment horizontal="center"/>
    </xf>
    <xf numFmtId="3" fontId="0" fillId="11" borderId="13" xfId="0" applyNumberFormat="1" applyFont="1" applyFill="1" applyBorder="1" applyAlignment="1" applyProtection="1">
      <alignment horizontal="center"/>
      <protection locked="0"/>
    </xf>
    <xf numFmtId="3" fontId="0" fillId="11" borderId="6" xfId="0" applyNumberFormat="1" applyFont="1" applyFill="1" applyBorder="1" applyAlignment="1" applyProtection="1">
      <alignment horizontal="center"/>
      <protection locked="0"/>
    </xf>
    <xf numFmtId="3" fontId="0" fillId="11" borderId="14" xfId="0" applyNumberFormat="1" applyFont="1" applyFill="1" applyBorder="1" applyAlignment="1" applyProtection="1">
      <alignment horizontal="center"/>
      <protection locked="0"/>
    </xf>
    <xf numFmtId="164" fontId="0" fillId="11" borderId="13" xfId="0" applyNumberFormat="1" applyFont="1" applyFill="1" applyBorder="1" applyAlignment="1" applyProtection="1">
      <alignment horizontal="center"/>
      <protection locked="0"/>
    </xf>
    <xf numFmtId="164" fontId="0" fillId="11" borderId="6" xfId="0" applyNumberFormat="1" applyFont="1" applyFill="1" applyBorder="1" applyAlignment="1" applyProtection="1">
      <alignment horizontal="center"/>
      <protection locked="0"/>
    </xf>
    <xf numFmtId="164" fontId="0" fillId="11" borderId="14" xfId="0" applyNumberFormat="1" applyFont="1" applyFill="1" applyBorder="1" applyAlignment="1" applyProtection="1">
      <alignment horizontal="center"/>
      <protection locked="0"/>
    </xf>
    <xf numFmtId="0" fontId="0" fillId="0" borderId="0" xfId="0" applyFont="1" applyBorder="1" applyAlignment="1">
      <alignment horizontal="center"/>
    </xf>
    <xf numFmtId="0" fontId="0" fillId="11" borderId="13" xfId="0" applyFont="1" applyFill="1" applyBorder="1" applyAlignment="1" applyProtection="1">
      <alignment horizontal="center" vertical="top" wrapText="1"/>
      <protection locked="0"/>
    </xf>
    <xf numFmtId="0" fontId="0" fillId="11" borderId="6" xfId="0" applyFont="1" applyFill="1" applyBorder="1" applyAlignment="1" applyProtection="1">
      <alignment horizontal="center" vertical="top" wrapText="1"/>
      <protection locked="0"/>
    </xf>
    <xf numFmtId="0" fontId="0" fillId="11" borderId="14" xfId="0" applyFont="1" applyFill="1" applyBorder="1" applyAlignment="1" applyProtection="1">
      <alignment horizontal="center" vertical="top" wrapText="1"/>
      <protection locked="0"/>
    </xf>
    <xf numFmtId="0" fontId="52" fillId="0" borderId="81" xfId="0" applyFont="1" applyBorder="1" applyAlignment="1" applyProtection="1">
      <alignment horizontal="left" vertical="top" wrapText="1"/>
    </xf>
    <xf numFmtId="0" fontId="52" fillId="0" borderId="80" xfId="0" applyFont="1" applyBorder="1" applyAlignment="1" applyProtection="1">
      <alignment horizontal="left" vertical="top" wrapText="1"/>
    </xf>
    <xf numFmtId="0" fontId="52" fillId="0" borderId="82" xfId="0" applyFont="1" applyBorder="1" applyAlignment="1" applyProtection="1">
      <alignment horizontal="left" vertical="top" wrapText="1"/>
    </xf>
    <xf numFmtId="0" fontId="52" fillId="0" borderId="83" xfId="0" applyFont="1" applyBorder="1" applyAlignment="1" applyProtection="1">
      <alignment horizontal="left" vertical="top" wrapText="1"/>
    </xf>
    <xf numFmtId="0" fontId="52" fillId="0" borderId="0" xfId="0" applyFont="1" applyBorder="1" applyAlignment="1" applyProtection="1">
      <alignment horizontal="left" vertical="top" wrapText="1"/>
    </xf>
    <xf numFmtId="0" fontId="52" fillId="0" borderId="84" xfId="0" applyFont="1" applyBorder="1" applyAlignment="1" applyProtection="1">
      <alignment horizontal="left" vertical="top" wrapText="1"/>
    </xf>
    <xf numFmtId="0" fontId="52" fillId="0" borderId="85" xfId="0" applyFont="1" applyBorder="1" applyAlignment="1" applyProtection="1">
      <alignment horizontal="left" vertical="top" wrapText="1"/>
    </xf>
    <xf numFmtId="0" fontId="52" fillId="0" borderId="86" xfId="0" applyFont="1" applyBorder="1" applyAlignment="1" applyProtection="1">
      <alignment horizontal="left" vertical="top" wrapText="1"/>
    </xf>
    <xf numFmtId="0" fontId="52" fillId="0" borderId="87" xfId="0" applyFont="1" applyBorder="1" applyAlignment="1" applyProtection="1">
      <alignment horizontal="left" vertical="top" wrapText="1"/>
    </xf>
    <xf numFmtId="0" fontId="31" fillId="0" borderId="2" xfId="0" applyFont="1" applyBorder="1" applyAlignment="1">
      <alignment horizontal="right"/>
    </xf>
    <xf numFmtId="0" fontId="31" fillId="0" borderId="0" xfId="0" applyFont="1" applyBorder="1" applyAlignment="1">
      <alignment horizontal="right"/>
    </xf>
    <xf numFmtId="0" fontId="31" fillId="0" borderId="13" xfId="0" applyFont="1" applyBorder="1" applyAlignment="1">
      <alignment horizontal="center"/>
    </xf>
    <xf numFmtId="0" fontId="31" fillId="0" borderId="6" xfId="0" applyFont="1" applyBorder="1" applyAlignment="1">
      <alignment horizontal="center"/>
    </xf>
    <xf numFmtId="0" fontId="31" fillId="0" borderId="14" xfId="0" applyFont="1" applyBorder="1" applyAlignment="1">
      <alignment horizontal="center"/>
    </xf>
    <xf numFmtId="0" fontId="31" fillId="8" borderId="13" xfId="0" applyFont="1" applyFill="1" applyBorder="1" applyAlignment="1">
      <alignment horizontal="center"/>
    </xf>
    <xf numFmtId="0" fontId="31" fillId="8" borderId="14" xfId="0" applyFont="1" applyFill="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11" borderId="2" xfId="0" applyFill="1" applyBorder="1" applyAlignment="1" applyProtection="1">
      <alignment horizontal="center"/>
      <protection locked="0"/>
    </xf>
    <xf numFmtId="0" fontId="0" fillId="11" borderId="3" xfId="0" applyFill="1" applyBorder="1" applyAlignment="1" applyProtection="1">
      <alignment horizontal="center"/>
      <protection locked="0"/>
    </xf>
    <xf numFmtId="0" fontId="0" fillId="11" borderId="16" xfId="0" applyFill="1" applyBorder="1" applyAlignment="1" applyProtection="1">
      <alignment horizontal="center"/>
      <protection locked="0"/>
    </xf>
    <xf numFmtId="0" fontId="0" fillId="11" borderId="5" xfId="0" applyFill="1" applyBorder="1" applyAlignment="1" applyProtection="1">
      <alignment horizontal="center"/>
      <protection locked="0"/>
    </xf>
    <xf numFmtId="0" fontId="39" fillId="11" borderId="8" xfId="0" applyFont="1" applyFill="1" applyBorder="1" applyAlignment="1" applyProtection="1">
      <alignment horizontal="center"/>
      <protection locked="0"/>
    </xf>
    <xf numFmtId="0" fontId="0" fillId="0" borderId="31" xfId="0" applyBorder="1" applyAlignment="1">
      <alignment horizontal="center"/>
    </xf>
    <xf numFmtId="0" fontId="0" fillId="0" borderId="12" xfId="0" applyFont="1" applyBorder="1" applyAlignment="1">
      <alignment horizontal="center"/>
    </xf>
    <xf numFmtId="0" fontId="0" fillId="0" borderId="32" xfId="0" applyFont="1" applyBorder="1" applyAlignment="1">
      <alignment horizontal="center"/>
    </xf>
    <xf numFmtId="0" fontId="0" fillId="0" borderId="5" xfId="0" applyFont="1" applyBorder="1" applyAlignment="1">
      <alignment horizontal="center"/>
    </xf>
    <xf numFmtId="0" fontId="0" fillId="11" borderId="10" xfId="0" applyFont="1" applyFill="1" applyBorder="1" applyAlignment="1" applyProtection="1">
      <alignment horizontal="center"/>
      <protection locked="0"/>
    </xf>
    <xf numFmtId="0" fontId="0" fillId="11" borderId="8" xfId="0" applyFont="1" applyFill="1" applyBorder="1" applyAlignment="1" applyProtection="1">
      <alignment horizontal="center"/>
      <protection locked="0"/>
    </xf>
    <xf numFmtId="0" fontId="0" fillId="11" borderId="7" xfId="0" applyFill="1" applyBorder="1" applyAlignment="1" applyProtection="1">
      <alignment horizontal="center" vertical="center"/>
      <protection locked="0"/>
    </xf>
    <xf numFmtId="0" fontId="31" fillId="0" borderId="15" xfId="0" applyFont="1" applyBorder="1" applyAlignment="1">
      <alignment horizontal="right"/>
    </xf>
    <xf numFmtId="0" fontId="31" fillId="0" borderId="1" xfId="0" applyFont="1" applyBorder="1" applyAlignment="1">
      <alignment horizontal="right"/>
    </xf>
    <xf numFmtId="0" fontId="31" fillId="0" borderId="13" xfId="0" applyFont="1" applyBorder="1" applyAlignment="1">
      <alignment horizontal="center" vertical="center"/>
    </xf>
    <xf numFmtId="0" fontId="31" fillId="0" borderId="6" xfId="0" applyFont="1" applyBorder="1" applyAlignment="1">
      <alignment horizontal="center" vertical="center"/>
    </xf>
    <xf numFmtId="0" fontId="31" fillId="0" borderId="14" xfId="0" applyFont="1" applyBorder="1" applyAlignment="1">
      <alignment horizontal="center" vertical="center"/>
    </xf>
    <xf numFmtId="0" fontId="0" fillId="0" borderId="0" xfId="0" applyAlignment="1">
      <alignment horizontal="center" wrapText="1"/>
    </xf>
    <xf numFmtId="0" fontId="31" fillId="0" borderId="13" xfId="0" applyFont="1" applyBorder="1" applyAlignment="1" applyProtection="1">
      <alignment horizontal="center"/>
    </xf>
    <xf numFmtId="0" fontId="31" fillId="0" borderId="6" xfId="0" applyFont="1" applyBorder="1" applyAlignment="1" applyProtection="1">
      <alignment horizontal="center"/>
    </xf>
    <xf numFmtId="0" fontId="31" fillId="0" borderId="14" xfId="0" applyFont="1" applyBorder="1" applyAlignment="1" applyProtection="1">
      <alignment horizontal="center"/>
    </xf>
    <xf numFmtId="0" fontId="31" fillId="0" borderId="7" xfId="0" applyFont="1" applyBorder="1" applyAlignment="1" applyProtection="1">
      <alignment horizontal="center"/>
    </xf>
    <xf numFmtId="0" fontId="66" fillId="0" borderId="7" xfId="0" applyFont="1" applyBorder="1" applyAlignment="1">
      <alignment horizontal="center"/>
    </xf>
    <xf numFmtId="0" fontId="39" fillId="11" borderId="10" xfId="0" applyFont="1" applyFill="1" applyBorder="1" applyAlignment="1" applyProtection="1">
      <alignment horizontal="center"/>
      <protection locked="0"/>
    </xf>
    <xf numFmtId="0" fontId="39" fillId="11" borderId="15" xfId="0" applyFont="1" applyFill="1" applyBorder="1" applyAlignment="1" applyProtection="1">
      <alignment horizontal="center"/>
      <protection locked="0"/>
    </xf>
    <xf numFmtId="0" fontId="39" fillId="11" borderId="12" xfId="0" applyFont="1" applyFill="1" applyBorder="1" applyAlignment="1" applyProtection="1">
      <alignment horizontal="center"/>
      <protection locked="0"/>
    </xf>
    <xf numFmtId="0" fontId="0" fillId="14" borderId="2" xfId="0" applyFill="1" applyBorder="1" applyAlignment="1" applyProtection="1">
      <alignment horizontal="center"/>
      <protection locked="0"/>
    </xf>
    <xf numFmtId="0" fontId="0" fillId="14" borderId="3" xfId="0" applyFill="1" applyBorder="1" applyAlignment="1" applyProtection="1">
      <alignment horizontal="center"/>
      <protection locked="0"/>
    </xf>
    <xf numFmtId="0" fontId="0" fillId="14" borderId="9" xfId="0" applyFill="1" applyBorder="1" applyAlignment="1" applyProtection="1">
      <alignment horizontal="center"/>
      <protection locked="0"/>
    </xf>
    <xf numFmtId="0" fontId="0" fillId="0" borderId="13" xfId="0" applyFill="1" applyBorder="1" applyAlignment="1" applyProtection="1">
      <alignment horizontal="right"/>
    </xf>
    <xf numFmtId="0" fontId="0" fillId="0" borderId="6" xfId="0" applyFill="1" applyBorder="1" applyAlignment="1" applyProtection="1">
      <alignment horizontal="right"/>
    </xf>
    <xf numFmtId="0" fontId="0" fillId="11" borderId="8" xfId="0" applyFill="1" applyBorder="1" applyAlignment="1" applyProtection="1">
      <alignment horizontal="center"/>
      <protection locked="0"/>
    </xf>
    <xf numFmtId="0" fontId="0" fillId="0" borderId="2" xfId="0" applyBorder="1" applyAlignment="1">
      <alignment horizontal="center" wrapText="1"/>
    </xf>
    <xf numFmtId="0" fontId="0" fillId="11" borderId="10" xfId="0" applyFill="1" applyBorder="1" applyAlignment="1" applyProtection="1">
      <alignment horizontal="center"/>
      <protection locked="0"/>
    </xf>
    <xf numFmtId="0" fontId="0" fillId="14" borderId="8" xfId="0" applyFill="1" applyBorder="1" applyAlignment="1" applyProtection="1">
      <alignment horizontal="center"/>
      <protection locked="0"/>
    </xf>
    <xf numFmtId="0" fontId="0" fillId="0" borderId="13" xfId="0" applyBorder="1" applyAlignment="1">
      <alignment horizontal="right"/>
    </xf>
    <xf numFmtId="0" fontId="0" fillId="0" borderId="6" xfId="0" applyBorder="1" applyAlignment="1">
      <alignment horizontal="right"/>
    </xf>
    <xf numFmtId="0" fontId="0" fillId="0" borderId="14" xfId="0" applyBorder="1" applyAlignment="1">
      <alignment horizontal="right"/>
    </xf>
    <xf numFmtId="0" fontId="0" fillId="0" borderId="13" xfId="0" applyFill="1" applyBorder="1" applyAlignment="1" applyProtection="1">
      <alignment horizontal="left"/>
    </xf>
    <xf numFmtId="0" fontId="0" fillId="0" borderId="6" xfId="0" applyFill="1" applyBorder="1" applyAlignment="1" applyProtection="1">
      <alignment horizontal="left"/>
    </xf>
    <xf numFmtId="0" fontId="0" fillId="0" borderId="14" xfId="0" applyFill="1" applyBorder="1" applyAlignment="1" applyProtection="1">
      <alignment horizontal="left"/>
    </xf>
    <xf numFmtId="0" fontId="0" fillId="11" borderId="0" xfId="0" applyFill="1" applyBorder="1" applyAlignment="1" applyProtection="1">
      <alignment horizontal="center"/>
      <protection locked="0"/>
    </xf>
    <xf numFmtId="0" fontId="0" fillId="11" borderId="4" xfId="0" applyFill="1" applyBorder="1" applyAlignment="1" applyProtection="1">
      <alignment horizontal="center"/>
      <protection locked="0"/>
    </xf>
    <xf numFmtId="0" fontId="9" fillId="0" borderId="7" xfId="0" applyFont="1" applyBorder="1" applyAlignment="1">
      <alignment horizontal="center"/>
    </xf>
    <xf numFmtId="0" fontId="0" fillId="11" borderId="15" xfId="0" applyFill="1" applyBorder="1" applyAlignment="1" applyProtection="1">
      <alignment horizontal="center"/>
      <protection locked="0"/>
    </xf>
    <xf numFmtId="0" fontId="0" fillId="11" borderId="1" xfId="0" applyFill="1" applyBorder="1" applyAlignment="1" applyProtection="1">
      <alignment horizontal="center"/>
      <protection locked="0"/>
    </xf>
    <xf numFmtId="0" fontId="0" fillId="11" borderId="12" xfId="0" applyFill="1" applyBorder="1" applyAlignment="1" applyProtection="1">
      <alignment horizontal="center"/>
      <protection locked="0"/>
    </xf>
    <xf numFmtId="0" fontId="39" fillId="11" borderId="9" xfId="0" applyFont="1" applyFill="1" applyBorder="1" applyAlignment="1" applyProtection="1">
      <alignment horizontal="center"/>
      <protection locked="0"/>
    </xf>
    <xf numFmtId="0" fontId="0" fillId="14" borderId="10" xfId="0" applyFill="1" applyBorder="1" applyAlignment="1" applyProtection="1">
      <alignment horizontal="center"/>
      <protection locked="0"/>
    </xf>
    <xf numFmtId="9" fontId="0" fillId="11" borderId="13" xfId="0" applyNumberFormat="1" applyFill="1" applyBorder="1" applyAlignment="1" applyProtection="1">
      <alignment horizontal="center"/>
      <protection locked="0"/>
    </xf>
    <xf numFmtId="9" fontId="0" fillId="11" borderId="6" xfId="0" applyNumberFormat="1" applyFill="1" applyBorder="1" applyAlignment="1" applyProtection="1">
      <alignment horizontal="center"/>
      <protection locked="0"/>
    </xf>
    <xf numFmtId="9" fontId="0" fillId="11" borderId="14" xfId="0" applyNumberFormat="1" applyFill="1" applyBorder="1" applyAlignment="1" applyProtection="1">
      <alignment horizontal="center"/>
      <protection locked="0"/>
    </xf>
    <xf numFmtId="167" fontId="0" fillId="11" borderId="13" xfId="0" applyNumberFormat="1" applyFill="1" applyBorder="1" applyAlignment="1" applyProtection="1">
      <alignment horizontal="center"/>
      <protection locked="0"/>
    </xf>
    <xf numFmtId="167" fontId="0" fillId="11" borderId="6" xfId="0" applyNumberFormat="1" applyFill="1" applyBorder="1" applyAlignment="1" applyProtection="1">
      <alignment horizontal="center"/>
      <protection locked="0"/>
    </xf>
    <xf numFmtId="167" fontId="0" fillId="11" borderId="14" xfId="0" applyNumberFormat="1" applyFill="1" applyBorder="1" applyAlignment="1" applyProtection="1">
      <alignment horizontal="center"/>
      <protection locked="0"/>
    </xf>
    <xf numFmtId="0" fontId="0" fillId="11" borderId="13" xfId="0" applyNumberFormat="1" applyFill="1" applyBorder="1" applyAlignment="1" applyProtection="1">
      <alignment horizontal="center"/>
      <protection locked="0"/>
    </xf>
    <xf numFmtId="0" fontId="0" fillId="11" borderId="6" xfId="0" applyNumberFormat="1" applyFill="1" applyBorder="1" applyAlignment="1" applyProtection="1">
      <alignment horizontal="center"/>
      <protection locked="0"/>
    </xf>
    <xf numFmtId="0" fontId="0" fillId="11" borderId="14" xfId="0" applyNumberFormat="1" applyFill="1" applyBorder="1" applyAlignment="1" applyProtection="1">
      <alignment horizontal="center"/>
      <protection locked="0"/>
    </xf>
    <xf numFmtId="1" fontId="0" fillId="11" borderId="13" xfId="0" applyNumberFormat="1" applyFill="1" applyBorder="1" applyAlignment="1" applyProtection="1">
      <alignment horizontal="center"/>
      <protection locked="0"/>
    </xf>
    <xf numFmtId="1" fontId="0" fillId="11" borderId="6" xfId="0" applyNumberFormat="1" applyFill="1" applyBorder="1" applyAlignment="1" applyProtection="1">
      <alignment horizontal="center"/>
      <protection locked="0"/>
    </xf>
    <xf numFmtId="1" fontId="0" fillId="11" borderId="14" xfId="0" applyNumberFormat="1" applyFill="1" applyBorder="1" applyAlignment="1" applyProtection="1">
      <alignment horizontal="center"/>
      <protection locked="0"/>
    </xf>
    <xf numFmtId="0" fontId="31" fillId="0" borderId="6" xfId="0" applyFont="1" applyBorder="1" applyAlignment="1">
      <alignment horizontal="right"/>
    </xf>
    <xf numFmtId="0" fontId="31" fillId="0" borderId="4" xfId="0" applyFont="1" applyBorder="1" applyAlignment="1">
      <alignment horizontal="center"/>
    </xf>
    <xf numFmtId="0" fontId="0" fillId="0" borderId="0" xfId="0" applyBorder="1" applyAlignment="1">
      <alignment horizontal="left" vertical="center" wrapText="1"/>
    </xf>
    <xf numFmtId="0" fontId="0" fillId="0" borderId="3" xfId="0" applyBorder="1" applyAlignment="1">
      <alignment horizontal="left" vertical="center" wrapText="1"/>
    </xf>
    <xf numFmtId="0" fontId="0" fillId="11" borderId="9" xfId="0" applyFill="1" applyBorder="1" applyAlignment="1" applyProtection="1">
      <alignment horizontal="center"/>
      <protection locked="0"/>
    </xf>
    <xf numFmtId="9" fontId="0" fillId="14" borderId="13" xfId="0" applyNumberFormat="1" applyFill="1" applyBorder="1" applyAlignment="1" applyProtection="1">
      <alignment horizontal="center"/>
      <protection locked="0"/>
    </xf>
    <xf numFmtId="9" fontId="0" fillId="14" borderId="14" xfId="0" applyNumberFormat="1" applyFont="1" applyFill="1" applyBorder="1" applyAlignment="1" applyProtection="1">
      <alignment horizontal="center"/>
      <protection locked="0"/>
    </xf>
    <xf numFmtId="0" fontId="38" fillId="0" borderId="16" xfId="0" applyFont="1" applyBorder="1" applyAlignment="1">
      <alignment horizontal="left"/>
    </xf>
    <xf numFmtId="0" fontId="38" fillId="0" borderId="4" xfId="0" applyFont="1" applyBorder="1" applyAlignment="1">
      <alignment horizontal="left"/>
    </xf>
    <xf numFmtId="0" fontId="31" fillId="0" borderId="0" xfId="0" applyFont="1" applyAlignment="1">
      <alignment horizontal="right"/>
    </xf>
    <xf numFmtId="0" fontId="9" fillId="0" borderId="7" xfId="0" applyFont="1" applyBorder="1" applyAlignment="1" applyProtection="1">
      <alignment horizontal="center"/>
    </xf>
    <xf numFmtId="0" fontId="31" fillId="0" borderId="16" xfId="0" applyFont="1" applyBorder="1" applyAlignment="1">
      <alignment horizontal="right"/>
    </xf>
    <xf numFmtId="0" fontId="31" fillId="0" borderId="4" xfId="0" applyFont="1" applyBorder="1" applyAlignment="1">
      <alignment horizontal="right"/>
    </xf>
    <xf numFmtId="0" fontId="0" fillId="0" borderId="0" xfId="0" applyBorder="1" applyAlignment="1">
      <alignment horizontal="left" vertical="top" wrapText="1"/>
    </xf>
    <xf numFmtId="0" fontId="0" fillId="0" borderId="3" xfId="0" applyBorder="1" applyAlignment="1">
      <alignment horizontal="left" vertical="top" wrapText="1"/>
    </xf>
    <xf numFmtId="0" fontId="0" fillId="0" borderId="1" xfId="0" applyBorder="1" applyAlignment="1">
      <alignment horizontal="left" vertical="top" wrapText="1"/>
    </xf>
    <xf numFmtId="0" fontId="0" fillId="0" borderId="12" xfId="0" applyBorder="1" applyAlignment="1">
      <alignment horizontal="left" vertical="top" wrapText="1"/>
    </xf>
    <xf numFmtId="0" fontId="0" fillId="0" borderId="1" xfId="0" applyFont="1" applyBorder="1" applyAlignment="1">
      <alignment horizontal="center"/>
    </xf>
    <xf numFmtId="1" fontId="31" fillId="0" borderId="15" xfId="0" applyNumberFormat="1" applyFont="1" applyBorder="1" applyAlignment="1">
      <alignment horizontal="right"/>
    </xf>
    <xf numFmtId="1" fontId="31" fillId="0" borderId="1" xfId="0" applyNumberFormat="1" applyFont="1" applyBorder="1" applyAlignment="1">
      <alignment horizontal="right"/>
    </xf>
    <xf numFmtId="0" fontId="0" fillId="11" borderId="9" xfId="0" applyFont="1" applyFill="1" applyBorder="1" applyAlignment="1" applyProtection="1">
      <alignment horizontal="center"/>
      <protection locked="0"/>
    </xf>
    <xf numFmtId="0" fontId="31" fillId="0" borderId="15" xfId="0" applyFont="1" applyBorder="1" applyAlignment="1">
      <alignment horizontal="center" vertical="center"/>
    </xf>
    <xf numFmtId="0" fontId="31" fillId="0" borderId="1" xfId="0" applyFont="1" applyBorder="1" applyAlignment="1">
      <alignment horizontal="center" vertical="center"/>
    </xf>
    <xf numFmtId="0" fontId="31" fillId="0" borderId="16" xfId="0" applyFont="1" applyBorder="1" applyAlignment="1">
      <alignment horizontal="center" vertical="center"/>
    </xf>
    <xf numFmtId="0" fontId="31" fillId="0" borderId="4" xfId="0" applyFont="1" applyBorder="1" applyAlignment="1">
      <alignment horizontal="center" vertical="center"/>
    </xf>
    <xf numFmtId="0" fontId="0" fillId="0" borderId="1" xfId="0" applyFont="1" applyBorder="1" applyAlignment="1"/>
    <xf numFmtId="0" fontId="0" fillId="0" borderId="4" xfId="0" applyFont="1" applyBorder="1" applyAlignment="1">
      <alignment horizontal="left"/>
    </xf>
    <xf numFmtId="0" fontId="39" fillId="0" borderId="2" xfId="0" applyFont="1" applyBorder="1" applyAlignment="1">
      <alignment horizontal="center"/>
    </xf>
    <xf numFmtId="0" fontId="39" fillId="0" borderId="0" xfId="0" applyFont="1" applyBorder="1" applyAlignment="1">
      <alignment horizontal="center"/>
    </xf>
    <xf numFmtId="0" fontId="38" fillId="0" borderId="15" xfId="0" applyFont="1" applyBorder="1" applyAlignment="1">
      <alignment horizontal="left"/>
    </xf>
    <xf numFmtId="0" fontId="38" fillId="0" borderId="1" xfId="0" applyFont="1" applyBorder="1" applyAlignment="1">
      <alignment horizontal="left"/>
    </xf>
    <xf numFmtId="0" fontId="38" fillId="0" borderId="13" xfId="0" applyFont="1" applyBorder="1" applyAlignment="1">
      <alignment horizontal="left"/>
    </xf>
    <xf numFmtId="0" fontId="38" fillId="0" borderId="6" xfId="0" applyFont="1" applyBorder="1" applyAlignment="1">
      <alignment horizontal="left"/>
    </xf>
    <xf numFmtId="1" fontId="38" fillId="0" borderId="15" xfId="0" applyNumberFormat="1" applyFont="1" applyBorder="1" applyAlignment="1">
      <alignment horizontal="center" wrapText="1"/>
    </xf>
    <xf numFmtId="1" fontId="38" fillId="0" borderId="1" xfId="0" applyNumberFormat="1" applyFont="1" applyBorder="1" applyAlignment="1">
      <alignment horizontal="center" wrapText="1"/>
    </xf>
    <xf numFmtId="1" fontId="38" fillId="0" borderId="12" xfId="0" applyNumberFormat="1" applyFont="1" applyBorder="1" applyAlignment="1">
      <alignment horizontal="center" wrapText="1"/>
    </xf>
    <xf numFmtId="1" fontId="38" fillId="0" borderId="16" xfId="0" applyNumberFormat="1" applyFont="1" applyBorder="1" applyAlignment="1">
      <alignment horizontal="center" wrapText="1"/>
    </xf>
    <xf numFmtId="1" fontId="38" fillId="0" borderId="4" xfId="0" applyNumberFormat="1" applyFont="1" applyBorder="1" applyAlignment="1">
      <alignment horizontal="center" wrapText="1"/>
    </xf>
    <xf numFmtId="1" fontId="38" fillId="0" borderId="5" xfId="0" applyNumberFormat="1" applyFont="1" applyBorder="1" applyAlignment="1">
      <alignment horizontal="center" wrapText="1"/>
    </xf>
    <xf numFmtId="1" fontId="0" fillId="11" borderId="10" xfId="0" applyNumberFormat="1" applyFont="1" applyFill="1" applyBorder="1" applyAlignment="1" applyProtection="1">
      <alignment horizontal="center" vertical="center"/>
      <protection locked="0"/>
    </xf>
    <xf numFmtId="1" fontId="0" fillId="11" borderId="9" xfId="0" applyNumberFormat="1" applyFont="1" applyFill="1" applyBorder="1" applyAlignment="1" applyProtection="1">
      <alignment horizontal="center" vertical="center"/>
      <protection locked="0"/>
    </xf>
    <xf numFmtId="0" fontId="0" fillId="11" borderId="10" xfId="0" applyFill="1" applyBorder="1" applyAlignment="1" applyProtection="1">
      <alignment horizontal="center" vertical="center"/>
      <protection locked="0"/>
    </xf>
    <xf numFmtId="0" fontId="0" fillId="11" borderId="9" xfId="0" applyFill="1" applyBorder="1" applyAlignment="1" applyProtection="1">
      <alignment horizontal="center" vertical="center"/>
      <protection locked="0"/>
    </xf>
    <xf numFmtId="0" fontId="38" fillId="0" borderId="13" xfId="0" applyFont="1" applyBorder="1" applyAlignment="1">
      <alignment horizontal="center"/>
    </xf>
    <xf numFmtId="0" fontId="38" fillId="0" borderId="6" xfId="0" applyFont="1" applyBorder="1" applyAlignment="1">
      <alignment horizontal="center"/>
    </xf>
    <xf numFmtId="0" fontId="38" fillId="0" borderId="14" xfId="0" applyFont="1" applyBorder="1" applyAlignment="1">
      <alignment horizontal="center"/>
    </xf>
    <xf numFmtId="0" fontId="0" fillId="0" borderId="0" xfId="0" applyNumberFormat="1" applyAlignment="1">
      <alignment horizontal="left"/>
    </xf>
    <xf numFmtId="0" fontId="67" fillId="0" borderId="2" xfId="0" applyFont="1" applyBorder="1" applyAlignment="1" applyProtection="1">
      <alignment horizontal="center" vertical="center"/>
    </xf>
    <xf numFmtId="0" fontId="67" fillId="0" borderId="0" xfId="0" applyFont="1" applyBorder="1" applyAlignment="1" applyProtection="1">
      <alignment horizontal="center" vertical="center"/>
    </xf>
    <xf numFmtId="0" fontId="67" fillId="0" borderId="3" xfId="0" applyFont="1" applyBorder="1" applyAlignment="1" applyProtection="1">
      <alignment horizontal="center" vertical="center"/>
    </xf>
    <xf numFmtId="0" fontId="31" fillId="0" borderId="4" xfId="0" applyFont="1" applyBorder="1" applyAlignment="1" applyProtection="1">
      <alignment horizontal="left" vertical="center"/>
    </xf>
    <xf numFmtId="0" fontId="31" fillId="0" borderId="5" xfId="0" applyFont="1" applyBorder="1" applyAlignment="1" applyProtection="1">
      <alignment horizontal="left" vertical="center"/>
    </xf>
    <xf numFmtId="9" fontId="0" fillId="11" borderId="7" xfId="0" applyNumberFormat="1" applyFill="1" applyBorder="1" applyAlignment="1" applyProtection="1">
      <alignment horizontal="center"/>
      <protection locked="0"/>
    </xf>
    <xf numFmtId="0" fontId="31" fillId="0" borderId="7" xfId="0" applyFont="1" applyBorder="1" applyAlignment="1">
      <alignment horizontal="center"/>
    </xf>
    <xf numFmtId="165" fontId="31" fillId="8" borderId="1" xfId="0" applyNumberFormat="1" applyFont="1" applyFill="1" applyBorder="1" applyAlignment="1" applyProtection="1">
      <alignment horizontal="left" vertical="center"/>
    </xf>
    <xf numFmtId="165" fontId="31" fillId="8" borderId="12" xfId="0" applyNumberFormat="1" applyFont="1" applyFill="1" applyBorder="1" applyAlignment="1" applyProtection="1">
      <alignment horizontal="left" vertical="center"/>
    </xf>
    <xf numFmtId="1" fontId="68" fillId="0" borderId="33" xfId="0" applyNumberFormat="1" applyFont="1" applyBorder="1" applyAlignment="1">
      <alignment horizontal="center"/>
    </xf>
    <xf numFmtId="1" fontId="0" fillId="0" borderId="10" xfId="0" applyNumberFormat="1" applyFont="1" applyBorder="1" applyAlignment="1">
      <alignment horizontal="center"/>
    </xf>
    <xf numFmtId="0" fontId="0" fillId="0" borderId="44" xfId="0" applyFont="1" applyBorder="1" applyAlignment="1">
      <alignment horizontal="center"/>
    </xf>
    <xf numFmtId="0" fontId="0" fillId="11" borderId="7" xfId="0" applyFill="1" applyBorder="1" applyAlignment="1" applyProtection="1">
      <alignment horizontal="center"/>
      <protection locked="0"/>
    </xf>
    <xf numFmtId="0" fontId="0" fillId="0" borderId="88" xfId="0" applyFont="1" applyBorder="1" applyAlignment="1">
      <alignment horizontal="center"/>
    </xf>
    <xf numFmtId="0" fontId="31" fillId="0" borderId="88" xfId="0" applyFont="1" applyBorder="1" applyAlignment="1">
      <alignment horizontal="center" wrapText="1"/>
    </xf>
    <xf numFmtId="2" fontId="0" fillId="0" borderId="88" xfId="0" applyNumberFormat="1" applyFont="1" applyBorder="1" applyAlignment="1">
      <alignment horizontal="center"/>
    </xf>
    <xf numFmtId="0" fontId="0" fillId="11" borderId="34" xfId="0" applyFill="1" applyBorder="1" applyAlignment="1" applyProtection="1">
      <alignment horizontal="left"/>
      <protection locked="0"/>
    </xf>
    <xf numFmtId="0" fontId="0" fillId="11" borderId="35" xfId="0" applyFont="1" applyFill="1" applyBorder="1" applyAlignment="1" applyProtection="1">
      <alignment horizontal="left"/>
      <protection locked="0"/>
    </xf>
    <xf numFmtId="0" fontId="0" fillId="11" borderId="36" xfId="0" applyFont="1" applyFill="1" applyBorder="1" applyAlignment="1" applyProtection="1">
      <alignment horizontal="left"/>
      <protection locked="0"/>
    </xf>
    <xf numFmtId="0" fontId="31" fillId="0" borderId="33"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left"/>
    </xf>
    <xf numFmtId="0" fontId="31" fillId="0" borderId="7" xfId="0" applyFont="1" applyBorder="1" applyAlignment="1">
      <alignment horizontal="left"/>
    </xf>
    <xf numFmtId="0" fontId="31" fillId="0" borderId="39" xfId="0" applyFont="1" applyBorder="1" applyAlignment="1">
      <alignment horizontal="left"/>
    </xf>
    <xf numFmtId="0" fontId="31" fillId="0" borderId="10" xfId="0" applyFont="1" applyBorder="1" applyAlignment="1">
      <alignment horizontal="left"/>
    </xf>
    <xf numFmtId="0" fontId="31" fillId="0" borderId="40" xfId="0" applyFont="1" applyBorder="1" applyAlignment="1">
      <alignment horizontal="left"/>
    </xf>
    <xf numFmtId="0" fontId="31" fillId="0" borderId="41" xfId="0" applyFont="1" applyBorder="1" applyAlignment="1">
      <alignment horizontal="left"/>
    </xf>
    <xf numFmtId="1" fontId="0" fillId="0" borderId="7" xfId="0" applyNumberFormat="1" applyFont="1" applyBorder="1" applyAlignment="1">
      <alignment horizontal="center"/>
    </xf>
    <xf numFmtId="0" fontId="0" fillId="0" borderId="7" xfId="0" applyFont="1" applyBorder="1" applyAlignment="1">
      <alignment horizontal="center"/>
    </xf>
    <xf numFmtId="1" fontId="43" fillId="0" borderId="41" xfId="0" applyNumberFormat="1"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0" fillId="0" borderId="43" xfId="0" applyFont="1" applyBorder="1" applyAlignment="1">
      <alignment horizontal="center"/>
    </xf>
    <xf numFmtId="0" fontId="0" fillId="0" borderId="10" xfId="0" applyFont="1" applyBorder="1" applyAlignment="1">
      <alignment horizontal="center"/>
    </xf>
    <xf numFmtId="0" fontId="31" fillId="0" borderId="45" xfId="0" applyFont="1" applyBorder="1" applyAlignment="1">
      <alignment horizontal="center"/>
    </xf>
    <xf numFmtId="2" fontId="0" fillId="0" borderId="7" xfId="0" applyNumberFormat="1" applyFont="1" applyFill="1" applyBorder="1" applyAlignment="1" applyProtection="1">
      <alignment horizontal="center"/>
    </xf>
    <xf numFmtId="0" fontId="0" fillId="0" borderId="7" xfId="0" applyFont="1" applyFill="1" applyBorder="1" applyAlignment="1" applyProtection="1">
      <alignment horizontal="center"/>
    </xf>
    <xf numFmtId="0" fontId="31" fillId="0" borderId="88" xfId="0" applyFont="1" applyBorder="1" applyAlignment="1">
      <alignment horizontal="center"/>
    </xf>
    <xf numFmtId="0" fontId="0" fillId="0" borderId="6" xfId="0" applyBorder="1"/>
    <xf numFmtId="0" fontId="0" fillId="0" borderId="14" xfId="0" applyBorder="1"/>
    <xf numFmtId="0" fontId="31" fillId="0" borderId="15"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5" xfId="0" applyFont="1" applyBorder="1" applyAlignment="1">
      <alignment horizontal="center" vertical="center" wrapText="1"/>
    </xf>
    <xf numFmtId="165" fontId="0" fillId="11" borderId="7" xfId="0" applyNumberFormat="1" applyFill="1" applyBorder="1" applyAlignment="1" applyProtection="1">
      <alignment horizontal="center"/>
      <protection locked="0"/>
    </xf>
    <xf numFmtId="0" fontId="31" fillId="0" borderId="13" xfId="0" applyFont="1" applyBorder="1" applyAlignment="1">
      <alignment horizontal="left"/>
    </xf>
    <xf numFmtId="0" fontId="31" fillId="0" borderId="6" xfId="0" applyFont="1" applyBorder="1" applyAlignment="1">
      <alignment horizontal="left"/>
    </xf>
    <xf numFmtId="0" fontId="31" fillId="0" borderId="14" xfId="0" applyFont="1" applyBorder="1" applyAlignment="1">
      <alignment horizontal="left"/>
    </xf>
    <xf numFmtId="0" fontId="31" fillId="0" borderId="52" xfId="0" applyFont="1" applyBorder="1" applyAlignment="1">
      <alignment horizontal="center" vertical="center" wrapText="1"/>
    </xf>
    <xf numFmtId="0" fontId="31" fillId="0" borderId="35" xfId="0" applyFont="1" applyBorder="1" applyAlignment="1">
      <alignment horizontal="center" vertical="center" wrapText="1"/>
    </xf>
    <xf numFmtId="0" fontId="31"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55" xfId="0" applyFont="1" applyBorder="1" applyAlignment="1">
      <alignment horizontal="center" vertical="center" wrapText="1"/>
    </xf>
    <xf numFmtId="2" fontId="43" fillId="0" borderId="56" xfId="0" applyNumberFormat="1" applyFont="1" applyBorder="1" applyAlignment="1">
      <alignment horizontal="center"/>
    </xf>
    <xf numFmtId="2" fontId="43" fillId="0" borderId="57" xfId="0" applyNumberFormat="1" applyFont="1" applyBorder="1" applyAlignment="1">
      <alignment horizontal="center"/>
    </xf>
    <xf numFmtId="2" fontId="43" fillId="0" borderId="58" xfId="0" applyNumberFormat="1" applyFont="1" applyBorder="1" applyAlignment="1">
      <alignment horizontal="center"/>
    </xf>
    <xf numFmtId="0" fontId="31" fillId="0" borderId="52" xfId="0" applyFont="1" applyBorder="1" applyAlignment="1">
      <alignment horizontal="center" vertical="center"/>
    </xf>
    <xf numFmtId="0" fontId="31" fillId="0" borderId="35" xfId="0" applyFont="1" applyBorder="1" applyAlignment="1">
      <alignment horizontal="center" vertical="center"/>
    </xf>
    <xf numFmtId="0" fontId="31" fillId="0" borderId="53"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pplyAlignment="1">
      <alignment horizontal="center" vertical="center"/>
    </xf>
    <xf numFmtId="0" fontId="43" fillId="0" borderId="57" xfId="0" applyFont="1" applyBorder="1" applyAlignment="1">
      <alignment horizontal="center"/>
    </xf>
    <xf numFmtId="0" fontId="43" fillId="0" borderId="58" xfId="0" applyFont="1" applyBorder="1" applyAlignment="1">
      <alignment horizontal="center"/>
    </xf>
    <xf numFmtId="2" fontId="0" fillId="0" borderId="13" xfId="0" applyNumberFormat="1" applyBorder="1" applyAlignment="1">
      <alignment horizontal="center"/>
    </xf>
    <xf numFmtId="0" fontId="38" fillId="0" borderId="15" xfId="0" applyFont="1" applyBorder="1" applyAlignment="1">
      <alignment horizontal="center" wrapText="1"/>
    </xf>
    <xf numFmtId="0" fontId="38" fillId="0" borderId="1" xfId="0" applyFont="1" applyBorder="1" applyAlignment="1">
      <alignment horizontal="center" wrapText="1"/>
    </xf>
    <xf numFmtId="0" fontId="38" fillId="0" borderId="12" xfId="0" applyFont="1" applyBorder="1" applyAlignment="1">
      <alignment horizontal="center" wrapText="1"/>
    </xf>
    <xf numFmtId="0" fontId="38" fillId="0" borderId="16" xfId="0" applyFont="1" applyBorder="1" applyAlignment="1">
      <alignment horizontal="center" wrapText="1"/>
    </xf>
    <xf numFmtId="0" fontId="38" fillId="0" borderId="4" xfId="0" applyFont="1" applyBorder="1" applyAlignment="1">
      <alignment horizontal="center" wrapText="1"/>
    </xf>
    <xf numFmtId="0" fontId="38" fillId="0" borderId="5" xfId="0" applyFont="1" applyBorder="1" applyAlignment="1">
      <alignment horizontal="center" wrapText="1"/>
    </xf>
    <xf numFmtId="165" fontId="0" fillId="11" borderId="46" xfId="0" applyNumberFormat="1" applyFill="1" applyBorder="1" applyAlignment="1" applyProtection="1">
      <alignment horizontal="center"/>
      <protection locked="0"/>
    </xf>
    <xf numFmtId="165" fontId="0" fillId="11" borderId="47" xfId="0" applyNumberFormat="1" applyFill="1" applyBorder="1" applyAlignment="1" applyProtection="1">
      <alignment horizontal="center"/>
      <protection locked="0"/>
    </xf>
    <xf numFmtId="165" fontId="0" fillId="11" borderId="48" xfId="0" applyNumberFormat="1" applyFill="1" applyBorder="1" applyAlignment="1" applyProtection="1">
      <alignment horizontal="center"/>
      <protection locked="0"/>
    </xf>
    <xf numFmtId="0" fontId="31" fillId="0" borderId="13" xfId="0" applyFont="1" applyBorder="1" applyAlignment="1" applyProtection="1">
      <alignment horizontal="center" vertical="center" wrapText="1"/>
    </xf>
    <xf numFmtId="0" fontId="31" fillId="0" borderId="6" xfId="0" applyFont="1" applyBorder="1" applyAlignment="1" applyProtection="1">
      <alignment horizontal="center" vertical="center" wrapText="1"/>
    </xf>
    <xf numFmtId="0" fontId="31" fillId="0" borderId="14" xfId="0" applyFont="1" applyBorder="1" applyAlignment="1" applyProtection="1">
      <alignment horizontal="center" vertical="center" wrapText="1"/>
    </xf>
    <xf numFmtId="0" fontId="31" fillId="0" borderId="49" xfId="0" applyFont="1" applyBorder="1" applyAlignment="1" applyProtection="1">
      <alignment horizontal="center"/>
    </xf>
    <xf numFmtId="0" fontId="31" fillId="0" borderId="50" xfId="0" applyFont="1" applyBorder="1" applyAlignment="1" applyProtection="1">
      <alignment horizontal="center"/>
    </xf>
    <xf numFmtId="0" fontId="31" fillId="0" borderId="51" xfId="0" applyFont="1" applyBorder="1" applyAlignment="1" applyProtection="1">
      <alignment horizontal="center"/>
    </xf>
    <xf numFmtId="0" fontId="31" fillId="0" borderId="7" xfId="0" applyFont="1" applyBorder="1" applyAlignment="1" applyProtection="1">
      <alignment horizontal="right" vertical="center"/>
    </xf>
    <xf numFmtId="0" fontId="31" fillId="0" borderId="13" xfId="0" applyFont="1" applyBorder="1" applyAlignment="1" applyProtection="1">
      <alignment horizontal="right" vertical="center"/>
    </xf>
    <xf numFmtId="0" fontId="31" fillId="0" borderId="7" xfId="0" applyFont="1" applyBorder="1" applyAlignment="1">
      <alignment horizontal="center" vertical="center"/>
    </xf>
    <xf numFmtId="0" fontId="31" fillId="0" borderId="7" xfId="0" applyFont="1" applyBorder="1" applyAlignment="1" applyProtection="1">
      <alignment horizontal="center" vertical="center"/>
    </xf>
    <xf numFmtId="0" fontId="0" fillId="11" borderId="13" xfId="0" applyFill="1" applyBorder="1" applyAlignment="1" applyProtection="1">
      <alignment horizontal="center" vertical="center"/>
      <protection locked="0"/>
    </xf>
    <xf numFmtId="0" fontId="0" fillId="11" borderId="6" xfId="0" applyFill="1" applyBorder="1" applyAlignment="1" applyProtection="1">
      <alignment horizontal="center" vertical="center"/>
      <protection locked="0"/>
    </xf>
    <xf numFmtId="0" fontId="0" fillId="11" borderId="14" xfId="0" applyFill="1" applyBorder="1" applyAlignment="1" applyProtection="1">
      <alignment horizontal="center" vertical="center"/>
      <protection locked="0"/>
    </xf>
    <xf numFmtId="164" fontId="0" fillId="0" borderId="13" xfId="0" applyNumberFormat="1" applyBorder="1" applyAlignment="1">
      <alignment horizontal="center" vertical="center"/>
    </xf>
    <xf numFmtId="164" fontId="0" fillId="0" borderId="6" xfId="0" applyNumberFormat="1" applyBorder="1" applyAlignment="1">
      <alignment horizontal="center" vertical="center"/>
    </xf>
    <xf numFmtId="164" fontId="0" fillId="0" borderId="14" xfId="0" applyNumberFormat="1" applyBorder="1" applyAlignment="1">
      <alignment horizontal="center" vertical="center"/>
    </xf>
    <xf numFmtId="0" fontId="31" fillId="0" borderId="13" xfId="0" applyFont="1" applyBorder="1" applyAlignment="1" applyProtection="1">
      <alignment horizontal="center" vertical="center"/>
    </xf>
    <xf numFmtId="0" fontId="31" fillId="0" borderId="6" xfId="0" applyFont="1" applyBorder="1" applyAlignment="1" applyProtection="1">
      <alignment horizontal="center" vertical="center"/>
    </xf>
    <xf numFmtId="0" fontId="31" fillId="0" borderId="14" xfId="0" applyFont="1" applyBorder="1" applyAlignment="1" applyProtection="1">
      <alignment horizontal="center" vertical="center"/>
    </xf>
    <xf numFmtId="164" fontId="0" fillId="0" borderId="13"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14" xfId="0" applyNumberFormat="1" applyBorder="1" applyAlignment="1" applyProtection="1">
      <alignment horizontal="center" vertical="center"/>
    </xf>
    <xf numFmtId="2" fontId="0" fillId="0" borderId="13" xfId="0" applyNumberFormat="1" applyFont="1" applyBorder="1" applyAlignment="1" applyProtection="1">
      <alignment horizontal="center" vertical="center"/>
    </xf>
    <xf numFmtId="2" fontId="0" fillId="0" borderId="6" xfId="0" applyNumberFormat="1" applyFont="1" applyBorder="1" applyAlignment="1" applyProtection="1">
      <alignment horizontal="center" vertical="center"/>
    </xf>
    <xf numFmtId="2" fontId="0" fillId="0" borderId="14" xfId="0" applyNumberFormat="1" applyFont="1" applyBorder="1" applyAlignment="1" applyProtection="1">
      <alignment horizontal="center" vertical="center"/>
    </xf>
    <xf numFmtId="2" fontId="0" fillId="14" borderId="13" xfId="0" applyNumberFormat="1" applyFill="1" applyBorder="1" applyAlignment="1" applyProtection="1">
      <alignment horizontal="center" vertical="center"/>
      <protection locked="0"/>
    </xf>
    <xf numFmtId="2" fontId="0" fillId="14" borderId="6" xfId="0" applyNumberFormat="1" applyFill="1" applyBorder="1" applyAlignment="1" applyProtection="1">
      <alignment horizontal="center" vertical="center"/>
      <protection locked="0"/>
    </xf>
    <xf numFmtId="2" fontId="0" fillId="14" borderId="14" xfId="0" applyNumberFormat="1" applyFill="1" applyBorder="1" applyAlignment="1" applyProtection="1">
      <alignment horizontal="center" vertical="center"/>
      <protection locked="0"/>
    </xf>
    <xf numFmtId="0" fontId="31" fillId="0" borderId="13" xfId="0" applyFont="1" applyBorder="1" applyAlignment="1">
      <alignment horizontal="right" vertical="center"/>
    </xf>
    <xf numFmtId="0" fontId="31" fillId="0" borderId="6" xfId="0" applyFont="1" applyBorder="1" applyAlignment="1">
      <alignment horizontal="right" vertical="center"/>
    </xf>
    <xf numFmtId="0" fontId="31" fillId="0" borderId="14" xfId="0" applyFont="1" applyBorder="1" applyAlignment="1">
      <alignment horizontal="right" vertical="center"/>
    </xf>
    <xf numFmtId="0" fontId="31" fillId="0" borderId="6" xfId="0" applyFont="1" applyBorder="1" applyAlignment="1" applyProtection="1">
      <alignment horizontal="right" vertical="center"/>
    </xf>
    <xf numFmtId="0" fontId="31" fillId="0" borderId="14" xfId="0" applyFont="1" applyBorder="1" applyAlignment="1" applyProtection="1">
      <alignment horizontal="right" vertical="center"/>
    </xf>
    <xf numFmtId="0" fontId="31" fillId="0" borderId="13" xfId="0" quotePrefix="1" applyFont="1" applyBorder="1" applyAlignment="1">
      <alignment horizontal="center" vertical="center"/>
    </xf>
    <xf numFmtId="14" fontId="38" fillId="0" borderId="0" xfId="0" applyNumberFormat="1" applyFont="1" applyAlignment="1">
      <alignment horizontal="left"/>
    </xf>
    <xf numFmtId="0" fontId="69" fillId="0" borderId="59" xfId="0" quotePrefix="1" applyFont="1" applyBorder="1" applyAlignment="1">
      <alignment horizontal="center"/>
    </xf>
    <xf numFmtId="0" fontId="69" fillId="0" borderId="47" xfId="0" applyFont="1" applyBorder="1" applyAlignment="1">
      <alignment horizontal="center"/>
    </xf>
    <xf numFmtId="0" fontId="69" fillId="0" borderId="60" xfId="0" applyFont="1" applyBorder="1" applyAlignment="1">
      <alignment horizontal="center"/>
    </xf>
    <xf numFmtId="0" fontId="39" fillId="0" borderId="61" xfId="0" applyFont="1" applyBorder="1" applyAlignment="1">
      <alignment horizontal="center"/>
    </xf>
    <xf numFmtId="0" fontId="39" fillId="0" borderId="62" xfId="0" applyFont="1" applyBorder="1" applyAlignment="1">
      <alignment horizontal="center"/>
    </xf>
    <xf numFmtId="0" fontId="69" fillId="0" borderId="0" xfId="0" quotePrefix="1" applyFont="1" applyAlignment="1">
      <alignment horizontal="center"/>
    </xf>
    <xf numFmtId="0" fontId="69" fillId="0" borderId="0" xfId="0" applyFont="1" applyAlignment="1">
      <alignment horizontal="center"/>
    </xf>
    <xf numFmtId="0" fontId="39" fillId="0" borderId="0" xfId="0" applyNumberFormat="1" applyFont="1" applyAlignment="1">
      <alignment horizontal="center"/>
    </xf>
    <xf numFmtId="0" fontId="39" fillId="0" borderId="63" xfId="0" applyFont="1" applyBorder="1" applyAlignment="1">
      <alignment horizontal="center"/>
    </xf>
    <xf numFmtId="0" fontId="39" fillId="0" borderId="64" xfId="0" applyFont="1" applyBorder="1" applyAlignment="1">
      <alignment horizontal="center"/>
    </xf>
    <xf numFmtId="0" fontId="39" fillId="0" borderId="65" xfId="0" applyFont="1" applyBorder="1" applyAlignment="1">
      <alignment horizontal="center"/>
    </xf>
    <xf numFmtId="0" fontId="40" fillId="0" borderId="0" xfId="0" applyFont="1" applyAlignment="1">
      <alignment horizontal="center"/>
    </xf>
    <xf numFmtId="0" fontId="21" fillId="0" borderId="66" xfId="0" applyFont="1" applyBorder="1" applyAlignment="1">
      <alignment horizontal="center" vertical="center"/>
    </xf>
    <xf numFmtId="0" fontId="31" fillId="0" borderId="67" xfId="0" applyFont="1" applyBorder="1" applyAlignment="1">
      <alignment horizontal="center" vertical="center"/>
    </xf>
    <xf numFmtId="0" fontId="31" fillId="0" borderId="68" xfId="0" applyFont="1" applyBorder="1" applyAlignment="1">
      <alignment horizontal="center" vertical="center"/>
    </xf>
    <xf numFmtId="165" fontId="31" fillId="0" borderId="66" xfId="0" applyNumberFormat="1" applyFont="1" applyBorder="1" applyAlignment="1">
      <alignment horizontal="center" vertical="center"/>
    </xf>
    <xf numFmtId="165" fontId="31" fillId="0" borderId="67" xfId="0" applyNumberFormat="1" applyFont="1" applyBorder="1" applyAlignment="1">
      <alignment horizontal="center" vertical="center"/>
    </xf>
    <xf numFmtId="165" fontId="31" fillId="0" borderId="68" xfId="0" applyNumberFormat="1" applyFont="1" applyBorder="1" applyAlignment="1">
      <alignment horizontal="center" vertical="center"/>
    </xf>
    <xf numFmtId="0" fontId="31" fillId="0" borderId="66" xfId="0" applyFont="1" applyBorder="1" applyAlignment="1">
      <alignment horizontal="center" vertical="center"/>
    </xf>
    <xf numFmtId="165" fontId="0" fillId="0" borderId="13" xfId="0" applyNumberFormat="1" applyBorder="1" applyAlignment="1">
      <alignment horizontal="center" vertical="center"/>
    </xf>
    <xf numFmtId="165" fontId="0" fillId="0" borderId="6" xfId="0" applyNumberFormat="1" applyBorder="1" applyAlignment="1">
      <alignment horizontal="center" vertical="center"/>
    </xf>
    <xf numFmtId="165" fontId="0" fillId="0" borderId="14" xfId="0" applyNumberFormat="1" applyBorder="1" applyAlignment="1">
      <alignment horizontal="center" vertical="center"/>
    </xf>
    <xf numFmtId="165" fontId="0" fillId="11" borderId="13" xfId="0" applyNumberFormat="1" applyFill="1" applyBorder="1" applyAlignment="1" applyProtection="1">
      <alignment horizontal="center" vertical="center"/>
      <protection locked="0"/>
    </xf>
    <xf numFmtId="165" fontId="0" fillId="11" borderId="6" xfId="0" applyNumberFormat="1" applyFill="1" applyBorder="1" applyAlignment="1" applyProtection="1">
      <alignment horizontal="center" vertical="center"/>
      <protection locked="0"/>
    </xf>
    <xf numFmtId="165" fontId="0" fillId="11" borderId="14" xfId="0" applyNumberFormat="1" applyFill="1" applyBorder="1" applyAlignment="1" applyProtection="1">
      <alignment horizontal="center" vertical="center"/>
      <protection locked="0"/>
    </xf>
    <xf numFmtId="2" fontId="0" fillId="11" borderId="16" xfId="0" applyNumberFormat="1" applyFill="1" applyBorder="1" applyAlignment="1" applyProtection="1">
      <alignment horizontal="center" vertical="center"/>
      <protection locked="0"/>
    </xf>
    <xf numFmtId="2" fontId="0" fillId="11" borderId="4" xfId="0" applyNumberFormat="1" applyFill="1" applyBorder="1" applyAlignment="1" applyProtection="1">
      <alignment horizontal="center" vertical="center"/>
      <protection locked="0"/>
    </xf>
    <xf numFmtId="2" fontId="0" fillId="11" borderId="5" xfId="0" applyNumberFormat="1" applyFill="1" applyBorder="1" applyAlignment="1" applyProtection="1">
      <alignment horizontal="center" vertical="center"/>
      <protection locked="0"/>
    </xf>
    <xf numFmtId="0" fontId="21" fillId="0" borderId="13" xfId="0" applyFont="1" applyBorder="1" applyAlignment="1">
      <alignment horizontal="center" vertical="center"/>
    </xf>
    <xf numFmtId="0" fontId="31" fillId="0" borderId="15" xfId="0" applyFont="1" applyBorder="1" applyAlignment="1">
      <alignment horizontal="center" wrapText="1"/>
    </xf>
    <xf numFmtId="0" fontId="0" fillId="0" borderId="1" xfId="0" applyBorder="1"/>
    <xf numFmtId="0" fontId="0" fillId="0" borderId="12" xfId="0" applyBorder="1"/>
    <xf numFmtId="0" fontId="0" fillId="0" borderId="2" xfId="0" applyBorder="1"/>
    <xf numFmtId="0" fontId="0" fillId="0" borderId="0" xfId="0" applyBorder="1"/>
    <xf numFmtId="0" fontId="0" fillId="0" borderId="3" xfId="0" applyBorder="1"/>
    <xf numFmtId="166" fontId="45" fillId="0" borderId="15" xfId="0" applyNumberFormat="1" applyFont="1" applyBorder="1" applyAlignment="1">
      <alignment horizontal="center" vertical="center" wrapText="1"/>
    </xf>
    <xf numFmtId="166" fontId="45" fillId="0" borderId="1" xfId="0" applyNumberFormat="1" applyFont="1" applyBorder="1" applyAlignment="1">
      <alignment horizontal="center" vertical="center" wrapText="1"/>
    </xf>
    <xf numFmtId="166" fontId="45" fillId="0" borderId="12" xfId="0" applyNumberFormat="1" applyFont="1" applyBorder="1" applyAlignment="1">
      <alignment horizontal="center" vertical="center" wrapText="1"/>
    </xf>
    <xf numFmtId="166" fontId="45" fillId="0" borderId="2" xfId="0" applyNumberFormat="1" applyFont="1" applyBorder="1" applyAlignment="1">
      <alignment horizontal="center" vertical="center" wrapText="1"/>
    </xf>
    <xf numFmtId="166" fontId="45" fillId="0" borderId="0" xfId="0" applyNumberFormat="1" applyFont="1" applyBorder="1" applyAlignment="1">
      <alignment horizontal="center" vertical="center" wrapText="1"/>
    </xf>
    <xf numFmtId="166" fontId="45" fillId="0" borderId="3" xfId="0" applyNumberFormat="1" applyFont="1" applyBorder="1" applyAlignment="1">
      <alignment horizontal="center" vertical="center" wrapText="1"/>
    </xf>
    <xf numFmtId="166" fontId="45" fillId="0" borderId="16" xfId="0" applyNumberFormat="1" applyFont="1" applyBorder="1" applyAlignment="1">
      <alignment horizontal="center" vertical="center" wrapText="1"/>
    </xf>
    <xf numFmtId="166" fontId="45" fillId="0" borderId="4" xfId="0" applyNumberFormat="1" applyFont="1" applyBorder="1" applyAlignment="1">
      <alignment horizontal="center" vertical="center" wrapText="1"/>
    </xf>
    <xf numFmtId="166" fontId="45" fillId="0" borderId="5" xfId="0" applyNumberFormat="1" applyFont="1" applyBorder="1" applyAlignment="1">
      <alignment horizontal="center" vertical="center" wrapText="1"/>
    </xf>
    <xf numFmtId="0" fontId="70" fillId="11" borderId="13" xfId="0" applyFont="1" applyFill="1" applyBorder="1" applyAlignment="1" applyProtection="1">
      <alignment horizontal="left"/>
      <protection locked="0"/>
    </xf>
    <xf numFmtId="0" fontId="70" fillId="11" borderId="6" xfId="0" applyFont="1" applyFill="1" applyBorder="1" applyAlignment="1" applyProtection="1">
      <alignment horizontal="left"/>
      <protection locked="0"/>
    </xf>
    <xf numFmtId="0" fontId="70" fillId="11" borderId="14" xfId="0" applyFont="1" applyFill="1" applyBorder="1" applyAlignment="1" applyProtection="1">
      <alignment horizontal="left"/>
      <protection locked="0"/>
    </xf>
    <xf numFmtId="0" fontId="6" fillId="0" borderId="0" xfId="2" applyAlignment="1">
      <alignment horizontal="center"/>
    </xf>
    <xf numFmtId="0" fontId="6" fillId="0" borderId="0" xfId="0" applyFont="1" applyFill="1" applyBorder="1" applyAlignment="1" applyProtection="1">
      <alignment horizontal="center" vertical="top" wrapText="1"/>
    </xf>
    <xf numFmtId="0" fontId="0" fillId="0" borderId="0" xfId="0" applyAlignment="1">
      <alignment horizontal="center" vertical="top" wrapText="1"/>
    </xf>
    <xf numFmtId="0" fontId="0" fillId="0" borderId="0" xfId="0" applyAlignment="1" applyProtection="1">
      <alignment horizontal="center"/>
    </xf>
    <xf numFmtId="0" fontId="39" fillId="0" borderId="0" xfId="0" applyFont="1" applyAlignment="1" applyProtection="1">
      <alignment horizontal="center"/>
    </xf>
    <xf numFmtId="0" fontId="35" fillId="0" borderId="69" xfId="0" applyFont="1" applyBorder="1" applyAlignment="1" applyProtection="1">
      <alignment horizontal="center" wrapText="1"/>
    </xf>
    <xf numFmtId="0" fontId="35" fillId="0" borderId="0" xfId="0" applyFont="1" applyBorder="1" applyAlignment="1" applyProtection="1">
      <alignment horizontal="center" wrapText="1"/>
    </xf>
    <xf numFmtId="0" fontId="35" fillId="0" borderId="69" xfId="0" applyFont="1" applyBorder="1" applyAlignment="1" applyProtection="1">
      <alignment horizontal="center"/>
    </xf>
    <xf numFmtId="0" fontId="35" fillId="0" borderId="0" xfId="0" applyFont="1" applyBorder="1" applyAlignment="1" applyProtection="1">
      <alignment horizontal="center"/>
    </xf>
    <xf numFmtId="2" fontId="71" fillId="7" borderId="70" xfId="0" applyNumberFormat="1" applyFont="1" applyFill="1" applyBorder="1" applyAlignment="1">
      <alignment horizontal="center"/>
    </xf>
    <xf numFmtId="2" fontId="71" fillId="7" borderId="71" xfId="0" applyNumberFormat="1" applyFont="1" applyFill="1" applyBorder="1" applyAlignment="1">
      <alignment horizontal="center"/>
    </xf>
    <xf numFmtId="2" fontId="46" fillId="4" borderId="13" xfId="0" applyNumberFormat="1" applyFont="1" applyFill="1" applyBorder="1" applyAlignment="1">
      <alignment horizontal="center"/>
    </xf>
    <xf numFmtId="2" fontId="46" fillId="4" borderId="14" xfId="0" applyNumberFormat="1" applyFont="1" applyFill="1" applyBorder="1" applyAlignment="1">
      <alignment horizontal="center"/>
    </xf>
    <xf numFmtId="0" fontId="41" fillId="15" borderId="10" xfId="0" applyFont="1" applyFill="1" applyBorder="1" applyAlignment="1">
      <alignment horizontal="center"/>
    </xf>
    <xf numFmtId="0" fontId="41" fillId="15" borderId="9" xfId="0" applyFont="1" applyFill="1" applyBorder="1" applyAlignment="1">
      <alignment horizontal="center"/>
    </xf>
    <xf numFmtId="0" fontId="46" fillId="4" borderId="7" xfId="0" applyFont="1" applyFill="1" applyBorder="1" applyAlignment="1">
      <alignment horizontal="center"/>
    </xf>
    <xf numFmtId="0" fontId="48" fillId="4" borderId="13" xfId="0" applyFont="1" applyFill="1" applyBorder="1" applyAlignment="1">
      <alignment horizontal="center"/>
    </xf>
    <xf numFmtId="0" fontId="48" fillId="4" borderId="6" xfId="0" applyFont="1" applyFill="1" applyBorder="1" applyAlignment="1">
      <alignment horizontal="center"/>
    </xf>
    <xf numFmtId="0" fontId="48" fillId="4" borderId="14" xfId="0" applyFont="1" applyFill="1" applyBorder="1" applyAlignment="1">
      <alignment horizontal="center"/>
    </xf>
    <xf numFmtId="165" fontId="48" fillId="4" borderId="13" xfId="0" applyNumberFormat="1" applyFont="1" applyFill="1" applyBorder="1" applyAlignment="1">
      <alignment horizontal="center"/>
    </xf>
    <xf numFmtId="165" fontId="48" fillId="4" borderId="6" xfId="0" applyNumberFormat="1" applyFont="1" applyFill="1" applyBorder="1" applyAlignment="1">
      <alignment horizontal="center"/>
    </xf>
    <xf numFmtId="165" fontId="48" fillId="4" borderId="14" xfId="0" applyNumberFormat="1" applyFont="1" applyFill="1" applyBorder="1" applyAlignment="1">
      <alignment horizontal="center"/>
    </xf>
    <xf numFmtId="0" fontId="48" fillId="4" borderId="7" xfId="0" applyFont="1" applyFill="1" applyBorder="1" applyAlignment="1">
      <alignment horizontal="center"/>
    </xf>
    <xf numFmtId="165" fontId="48" fillId="4" borderId="7" xfId="0" applyNumberFormat="1" applyFont="1" applyFill="1" applyBorder="1" applyAlignment="1">
      <alignment horizontal="center"/>
    </xf>
    <xf numFmtId="0" fontId="45" fillId="15" borderId="10" xfId="0" applyFont="1" applyFill="1" applyBorder="1" applyAlignment="1">
      <alignment horizontal="center"/>
    </xf>
    <xf numFmtId="0" fontId="45" fillId="15" borderId="9" xfId="0" applyFont="1" applyFill="1" applyBorder="1" applyAlignment="1">
      <alignment horizontal="center"/>
    </xf>
    <xf numFmtId="0" fontId="0" fillId="4" borderId="15" xfId="0" applyFont="1" applyFill="1" applyBorder="1" applyAlignment="1">
      <alignment horizontal="left" vertical="top" wrapText="1"/>
    </xf>
    <xf numFmtId="0" fontId="0" fillId="4" borderId="1" xfId="0" applyFont="1" applyFill="1" applyBorder="1" applyAlignment="1">
      <alignment horizontal="left" vertical="top" wrapText="1"/>
    </xf>
    <xf numFmtId="0" fontId="0" fillId="4" borderId="12" xfId="0" applyFont="1" applyFill="1" applyBorder="1" applyAlignment="1">
      <alignment horizontal="left" vertical="top" wrapText="1"/>
    </xf>
    <xf numFmtId="0" fontId="0" fillId="4" borderId="2" xfId="0" applyFont="1" applyFill="1" applyBorder="1" applyAlignment="1">
      <alignment horizontal="left" vertical="top" wrapText="1"/>
    </xf>
    <xf numFmtId="0" fontId="0" fillId="4" borderId="0" xfId="0" applyFont="1" applyFill="1" applyBorder="1" applyAlignment="1">
      <alignment horizontal="left" vertical="top" wrapText="1"/>
    </xf>
    <xf numFmtId="0" fontId="0" fillId="4" borderId="3" xfId="0" applyFont="1" applyFill="1" applyBorder="1" applyAlignment="1">
      <alignment horizontal="left" vertical="top" wrapText="1"/>
    </xf>
    <xf numFmtId="0" fontId="0" fillId="4" borderId="16" xfId="0" applyFont="1" applyFill="1" applyBorder="1" applyAlignment="1">
      <alignment horizontal="left" vertical="top" wrapText="1"/>
    </xf>
    <xf numFmtId="0" fontId="0" fillId="4" borderId="4" xfId="0" applyFont="1" applyFill="1" applyBorder="1" applyAlignment="1">
      <alignment horizontal="left" vertical="top" wrapText="1"/>
    </xf>
    <xf numFmtId="0" fontId="0" fillId="4" borderId="5" xfId="0" applyFont="1" applyFill="1" applyBorder="1" applyAlignment="1">
      <alignment horizontal="left" vertical="top" wrapText="1"/>
    </xf>
    <xf numFmtId="0" fontId="0" fillId="0" borderId="6" xfId="0" applyFont="1" applyBorder="1" applyAlignment="1">
      <alignment horizontal="left" vertical="top" wrapText="1"/>
    </xf>
    <xf numFmtId="0" fontId="0" fillId="4" borderId="10" xfId="0" applyFill="1" applyBorder="1" applyAlignment="1">
      <alignment horizontal="center" vertical="top" wrapText="1"/>
    </xf>
    <xf numFmtId="0" fontId="0" fillId="4" borderId="9" xfId="0" applyFill="1" applyBorder="1" applyAlignment="1">
      <alignment horizontal="center" vertical="top" wrapText="1"/>
    </xf>
    <xf numFmtId="0" fontId="41" fillId="15" borderId="15" xfId="0" applyFont="1" applyFill="1" applyBorder="1" applyAlignment="1" applyProtection="1">
      <alignment horizontal="center"/>
    </xf>
    <xf numFmtId="0" fontId="41" fillId="15" borderId="12" xfId="0" applyFont="1" applyFill="1" applyBorder="1" applyAlignment="1" applyProtection="1">
      <alignment horizontal="center"/>
    </xf>
    <xf numFmtId="0" fontId="41" fillId="15" borderId="16" xfId="0" applyFont="1" applyFill="1" applyBorder="1" applyAlignment="1" applyProtection="1">
      <alignment horizontal="center"/>
    </xf>
    <xf numFmtId="0" fontId="41" fillId="15" borderId="5" xfId="0" applyFont="1" applyFill="1" applyBorder="1" applyAlignment="1" applyProtection="1">
      <alignment horizontal="center"/>
    </xf>
    <xf numFmtId="0" fontId="41" fillId="15" borderId="1" xfId="0" applyFont="1" applyFill="1" applyBorder="1" applyAlignment="1" applyProtection="1">
      <alignment horizontal="center"/>
    </xf>
    <xf numFmtId="0" fontId="41" fillId="15" borderId="4" xfId="0" applyFont="1" applyFill="1" applyBorder="1" applyAlignment="1" applyProtection="1">
      <alignment horizontal="center"/>
    </xf>
    <xf numFmtId="0" fontId="0" fillId="4" borderId="15" xfId="0" applyFill="1" applyBorder="1" applyAlignment="1" applyProtection="1">
      <alignment horizontal="left" vertical="top" wrapText="1"/>
    </xf>
    <xf numFmtId="0" fontId="0" fillId="4" borderId="1" xfId="0" applyFill="1" applyBorder="1" applyAlignment="1" applyProtection="1">
      <alignment horizontal="left" vertical="top" wrapText="1"/>
    </xf>
    <xf numFmtId="0" fontId="0" fillId="4" borderId="12" xfId="0" applyFill="1" applyBorder="1" applyAlignment="1" applyProtection="1">
      <alignment horizontal="left" vertical="top" wrapText="1"/>
    </xf>
    <xf numFmtId="0" fontId="0" fillId="4" borderId="2" xfId="0" applyFill="1" applyBorder="1" applyAlignment="1" applyProtection="1">
      <alignment horizontal="left" vertical="top" wrapText="1"/>
    </xf>
    <xf numFmtId="0" fontId="0" fillId="4" borderId="0" xfId="0" applyFill="1" applyBorder="1" applyAlignment="1" applyProtection="1">
      <alignment horizontal="left" vertical="top" wrapText="1"/>
    </xf>
    <xf numFmtId="0" fontId="0" fillId="4" borderId="3" xfId="0" applyFill="1" applyBorder="1" applyAlignment="1" applyProtection="1">
      <alignment horizontal="left" vertical="top" wrapText="1"/>
    </xf>
    <xf numFmtId="0" fontId="0" fillId="4" borderId="16" xfId="0" applyFill="1" applyBorder="1" applyAlignment="1" applyProtection="1">
      <alignment horizontal="left" vertical="top" wrapText="1"/>
    </xf>
    <xf numFmtId="0" fontId="0" fillId="4" borderId="4" xfId="0" applyFill="1" applyBorder="1" applyAlignment="1" applyProtection="1">
      <alignment horizontal="left" vertical="top" wrapText="1"/>
    </xf>
    <xf numFmtId="0" fontId="0" fillId="4" borderId="5" xfId="0" applyFill="1" applyBorder="1" applyAlignment="1" applyProtection="1">
      <alignment horizontal="left" vertical="top" wrapText="1"/>
    </xf>
    <xf numFmtId="0" fontId="41" fillId="15" borderId="7" xfId="0" applyFont="1" applyFill="1" applyBorder="1" applyAlignment="1" applyProtection="1">
      <alignment horizontal="center"/>
    </xf>
  </cellXfs>
  <cellStyles count="7">
    <cellStyle name="Hyperlink" xfId="1" builtinId="8"/>
    <cellStyle name="Hyperlink 2" xfId="5" xr:uid="{00000000-0005-0000-0000-000001000000}"/>
    <cellStyle name="Normal" xfId="0" builtinId="0"/>
    <cellStyle name="Normal 2" xfId="2" xr:uid="{00000000-0005-0000-0000-000003000000}"/>
    <cellStyle name="Normal 3" xfId="3" xr:uid="{00000000-0005-0000-0000-000004000000}"/>
    <cellStyle name="Normal 4" xfId="6" xr:uid="{00000000-0005-0000-0000-000005000000}"/>
    <cellStyle name="Percent 2" xfId="4" xr:uid="{00000000-0005-0000-0000-000006000000}"/>
  </cellStyles>
  <dxfs count="44">
    <dxf>
      <numFmt numFmtId="169" formatCode="0.000"/>
    </dxf>
    <dxf>
      <numFmt numFmtId="165" formatCode="0.0"/>
    </dxf>
    <dxf>
      <numFmt numFmtId="169" formatCode="0.000"/>
    </dxf>
    <dxf>
      <fill>
        <patternFill>
          <bgColor rgb="FFC9DAF8"/>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theme="9" tint="-0.24994659260841701"/>
      </font>
    </dxf>
    <dxf>
      <font>
        <color theme="9" tint="-0.24994659260841701"/>
      </font>
    </dxf>
    <dxf>
      <font>
        <color rgb="FFC00000"/>
      </font>
    </dxf>
    <dxf>
      <font>
        <color rgb="FFC00000"/>
      </font>
    </dxf>
    <dxf>
      <font>
        <b val="0"/>
        <i/>
      </font>
    </dxf>
    <dxf>
      <font>
        <color rgb="FFC00000"/>
      </font>
    </dxf>
    <dxf>
      <font>
        <color rgb="FFC00000"/>
      </font>
    </dxf>
    <dxf>
      <font>
        <strike val="0"/>
        <color rgb="FFC00000"/>
      </font>
    </dxf>
    <dxf>
      <font>
        <color rgb="FFC00000"/>
      </font>
    </dxf>
    <dxf>
      <numFmt numFmtId="165" formatCode="0.0"/>
    </dxf>
    <dxf>
      <font>
        <color rgb="FFC00000"/>
      </font>
    </dxf>
    <dxf>
      <numFmt numFmtId="165" formatCode="0.0"/>
    </dxf>
    <dxf>
      <font>
        <color rgb="FFC00000"/>
      </font>
    </dxf>
    <dxf>
      <font>
        <color rgb="FFC00000"/>
      </font>
    </dxf>
    <dxf>
      <fill>
        <patternFill>
          <bgColor rgb="FFFF0000"/>
        </patternFill>
      </fill>
    </dxf>
    <dxf>
      <fill>
        <patternFill>
          <bgColor rgb="FFFF0000"/>
        </patternFill>
      </fill>
    </dxf>
    <dxf>
      <font>
        <color rgb="FFC00000"/>
      </font>
    </dxf>
    <dxf>
      <font>
        <color rgb="FFC00000"/>
      </font>
    </dxf>
    <dxf>
      <font>
        <color rgb="FFC00000"/>
      </font>
    </dxf>
    <dxf>
      <font>
        <color rgb="FFC00000"/>
      </font>
    </dxf>
    <dxf>
      <font>
        <color rgb="FFC00000"/>
      </font>
    </dxf>
    <dxf>
      <font>
        <color rgb="FFC00000"/>
      </font>
    </dxf>
    <dxf>
      <font>
        <color rgb="FFC00000"/>
      </font>
    </dxf>
    <dxf>
      <font>
        <b/>
        <i val="0"/>
        <color rgb="FFE55A1B"/>
      </font>
    </dxf>
    <dxf>
      <font>
        <b val="0"/>
        <i val="0"/>
        <color rgb="FFC00000"/>
      </font>
    </dxf>
    <dxf>
      <font>
        <color rgb="FFC00000"/>
      </font>
    </dxf>
    <dxf>
      <font>
        <color rgb="FFC00000"/>
      </font>
    </dxf>
    <dxf>
      <font>
        <color rgb="FFC00000"/>
      </font>
    </dxf>
    <dxf>
      <font>
        <color rgb="FFC00000"/>
      </font>
    </dxf>
    <dxf>
      <font>
        <color rgb="FFC00000"/>
      </font>
    </dxf>
    <dxf>
      <numFmt numFmtId="165" formatCode="0.0"/>
    </dxf>
    <dxf>
      <font>
        <b val="0"/>
        <i/>
      </font>
    </dxf>
    <dxf>
      <font>
        <b val="0"/>
        <i/>
      </font>
    </dxf>
    <dxf>
      <fill>
        <patternFill>
          <bgColor rgb="FFC9DAF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27</xdr:row>
          <xdr:rowOff>9525</xdr:rowOff>
        </xdr:from>
        <xdr:to>
          <xdr:col>6</xdr:col>
          <xdr:colOff>0</xdr:colOff>
          <xdr:row>28</xdr:row>
          <xdr:rowOff>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8000"/>
                  </a:solidFill>
                  <a:latin typeface="Calibri"/>
                  <a:cs typeface="Calibri"/>
                </a:rPr>
                <a:t>Scale!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27</xdr:row>
          <xdr:rowOff>9525</xdr:rowOff>
        </xdr:from>
        <xdr:to>
          <xdr:col>14</xdr:col>
          <xdr:colOff>0</xdr:colOff>
          <xdr:row>28</xdr:row>
          <xdr:rowOff>0</xdr:rowOff>
        </xdr:to>
        <xdr:sp macro="" textlink="">
          <xdr:nvSpPr>
            <xdr:cNvPr id="1429" name="Button 405" hidden="1">
              <a:extLst>
                <a:ext uri="{63B3BB69-23CF-44E3-9099-C40C66FF867C}">
                  <a14:compatExt spid="_x0000_s1429"/>
                </a:ext>
                <a:ext uri="{FF2B5EF4-FFF2-40B4-BE49-F238E27FC236}">
                  <a16:creationId xmlns:a16="http://schemas.microsoft.com/office/drawing/2014/main" id="{00000000-0008-0000-0200-00009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8000"/>
                  </a:solidFill>
                  <a:latin typeface="Calibri"/>
                  <a:cs typeface="Calibri"/>
                </a:rPr>
                <a:t>Scale!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9525</xdr:colOff>
          <xdr:row>27</xdr:row>
          <xdr:rowOff>9525</xdr:rowOff>
        </xdr:from>
        <xdr:to>
          <xdr:col>15</xdr:col>
          <xdr:colOff>0</xdr:colOff>
          <xdr:row>28</xdr:row>
          <xdr:rowOff>0</xdr:rowOff>
        </xdr:to>
        <xdr:sp macro="" textlink="">
          <xdr:nvSpPr>
            <xdr:cNvPr id="1441" name="Button 417" hidden="1">
              <a:extLst>
                <a:ext uri="{63B3BB69-23CF-44E3-9099-C40C66FF867C}">
                  <a14:compatExt spid="_x0000_s1441"/>
                </a:ext>
                <a:ext uri="{FF2B5EF4-FFF2-40B4-BE49-F238E27FC236}">
                  <a16:creationId xmlns:a16="http://schemas.microsoft.com/office/drawing/2014/main" id="{00000000-0008-0000-0200-0000A1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8000"/>
                  </a:solidFill>
                  <a:latin typeface="Calibri"/>
                  <a:cs typeface="Calibri"/>
                </a:rPr>
                <a:t>ComboScale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36</xdr:row>
          <xdr:rowOff>9525</xdr:rowOff>
        </xdr:from>
        <xdr:to>
          <xdr:col>9</xdr:col>
          <xdr:colOff>0</xdr:colOff>
          <xdr:row>37</xdr:row>
          <xdr:rowOff>0</xdr:rowOff>
        </xdr:to>
        <xdr:sp macro="" textlink="">
          <xdr:nvSpPr>
            <xdr:cNvPr id="1442" name="Button 418" hidden="1">
              <a:extLst>
                <a:ext uri="{63B3BB69-23CF-44E3-9099-C40C66FF867C}">
                  <a14:compatExt spid="_x0000_s1442"/>
                </a:ext>
                <a:ext uri="{FF2B5EF4-FFF2-40B4-BE49-F238E27FC236}">
                  <a16:creationId xmlns:a16="http://schemas.microsoft.com/office/drawing/2014/main" id="{00000000-0008-0000-0200-0000A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8000"/>
                  </a:solidFill>
                  <a:latin typeface="Calibri"/>
                  <a:cs typeface="Calibri"/>
                </a:rPr>
                <a:t>Scale!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17</xdr:col>
      <xdr:colOff>395993</xdr:colOff>
      <xdr:row>13</xdr:row>
      <xdr:rowOff>9525</xdr:rowOff>
    </xdr:to>
    <xdr:pic>
      <xdr:nvPicPr>
        <xdr:cNvPr id="5" name="Picture 4" descr="https://byo.com/wp-content/uploads/Unknown-7.png">
          <a:extLst>
            <a:ext uri="{FF2B5EF4-FFF2-40B4-BE49-F238E27FC236}">
              <a16:creationId xmlns:a16="http://schemas.microsoft.com/office/drawing/2014/main" id="{00000000-0008-0000-1B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609600"/>
          <a:ext cx="5882393" cy="191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creativecommons.org/licenses/by-nc-sa/3.0/us/legalcode" TargetMode="External"/><Relationship Id="rId1" Type="http://schemas.openxmlformats.org/officeDocument/2006/relationships/hyperlink" Target="http://seanterrill.com/2012/01/06/refractometer-calculator/"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50"/>
  </sheetPr>
  <dimension ref="B2:K79"/>
  <sheetViews>
    <sheetView showGridLines="0" showRowColHeaders="0" topLeftCell="A46" workbookViewId="0">
      <selection activeCell="B47" sqref="B47"/>
    </sheetView>
  </sheetViews>
  <sheetFormatPr defaultRowHeight="15" x14ac:dyDescent="0.25"/>
  <cols>
    <col min="3" max="3" width="11.85546875" bestFit="1" customWidth="1"/>
  </cols>
  <sheetData>
    <row r="2" spans="2:4" ht="21" x14ac:dyDescent="0.35">
      <c r="B2" s="47" t="s">
        <v>243</v>
      </c>
    </row>
    <row r="3" spans="2:4" ht="21" x14ac:dyDescent="0.35">
      <c r="B3" s="47" t="s">
        <v>576</v>
      </c>
    </row>
    <row r="4" spans="2:4" ht="21" x14ac:dyDescent="0.35">
      <c r="B4" s="47"/>
    </row>
    <row r="5" spans="2:4" ht="21" x14ac:dyDescent="0.35">
      <c r="B5" s="47" t="s">
        <v>245</v>
      </c>
    </row>
    <row r="6" spans="2:4" ht="21" x14ac:dyDescent="0.35">
      <c r="C6" s="48" t="s">
        <v>242</v>
      </c>
    </row>
    <row r="7" spans="2:4" ht="21" x14ac:dyDescent="0.35">
      <c r="C7" s="48" t="s">
        <v>250</v>
      </c>
    </row>
    <row r="8" spans="2:4" ht="21" x14ac:dyDescent="0.35">
      <c r="C8" s="48" t="s">
        <v>241</v>
      </c>
    </row>
    <row r="9" spans="2:4" ht="21" x14ac:dyDescent="0.35">
      <c r="B9" s="47"/>
      <c r="C9" s="48" t="s">
        <v>253</v>
      </c>
    </row>
    <row r="10" spans="2:4" ht="21" x14ac:dyDescent="0.35">
      <c r="B10" s="47"/>
      <c r="C10" s="48" t="s">
        <v>254</v>
      </c>
    </row>
    <row r="11" spans="2:4" ht="21" x14ac:dyDescent="0.35">
      <c r="B11" s="47"/>
      <c r="C11" s="48" t="s">
        <v>1041</v>
      </c>
    </row>
    <row r="12" spans="2:4" ht="21" x14ac:dyDescent="0.35">
      <c r="B12" s="47"/>
      <c r="C12" s="48"/>
      <c r="D12" s="48" t="s">
        <v>281</v>
      </c>
    </row>
    <row r="13" spans="2:4" ht="21" x14ac:dyDescent="0.35">
      <c r="B13" s="47"/>
      <c r="C13" s="48"/>
      <c r="D13" s="48" t="s">
        <v>1042</v>
      </c>
    </row>
    <row r="14" spans="2:4" ht="21" x14ac:dyDescent="0.35">
      <c r="B14" s="47"/>
      <c r="C14" s="48"/>
      <c r="D14" s="48" t="s">
        <v>282</v>
      </c>
    </row>
    <row r="15" spans="2:4" ht="21" x14ac:dyDescent="0.35">
      <c r="B15" s="47"/>
      <c r="C15" s="48"/>
      <c r="D15" s="48" t="s">
        <v>837</v>
      </c>
    </row>
    <row r="16" spans="2:4" ht="21" x14ac:dyDescent="0.35">
      <c r="B16" s="47"/>
      <c r="C16" s="48"/>
      <c r="D16" s="48" t="s">
        <v>1043</v>
      </c>
    </row>
    <row r="17" spans="2:4" ht="21" x14ac:dyDescent="0.35">
      <c r="B17" s="47"/>
      <c r="C17" s="48" t="s">
        <v>1044</v>
      </c>
      <c r="D17" s="48"/>
    </row>
    <row r="18" spans="2:4" ht="21" x14ac:dyDescent="0.35">
      <c r="B18" s="47"/>
      <c r="C18" s="48" t="s">
        <v>835</v>
      </c>
      <c r="D18" s="48"/>
    </row>
    <row r="19" spans="2:4" ht="21" x14ac:dyDescent="0.35">
      <c r="B19" s="47"/>
      <c r="C19" s="48" t="s">
        <v>361</v>
      </c>
      <c r="D19" s="48"/>
    </row>
    <row r="20" spans="2:4" ht="21" x14ac:dyDescent="0.35">
      <c r="B20" s="47"/>
      <c r="C20" s="48" t="s">
        <v>362</v>
      </c>
      <c r="D20" s="48"/>
    </row>
    <row r="21" spans="2:4" ht="21" x14ac:dyDescent="0.35">
      <c r="B21" s="47"/>
      <c r="C21" s="48" t="s">
        <v>1267</v>
      </c>
      <c r="D21" s="48"/>
    </row>
    <row r="22" spans="2:4" ht="21" x14ac:dyDescent="0.35">
      <c r="B22" s="47"/>
      <c r="C22" s="48" t="s">
        <v>360</v>
      </c>
      <c r="D22" s="48"/>
    </row>
    <row r="23" spans="2:4" ht="21" x14ac:dyDescent="0.35">
      <c r="B23" s="47"/>
      <c r="C23" s="48" t="s">
        <v>368</v>
      </c>
      <c r="D23" s="48"/>
    </row>
    <row r="24" spans="2:4" ht="21" x14ac:dyDescent="0.35">
      <c r="B24" s="47"/>
      <c r="C24" s="48" t="s">
        <v>1106</v>
      </c>
      <c r="D24" s="48"/>
    </row>
    <row r="25" spans="2:4" ht="21" x14ac:dyDescent="0.35">
      <c r="B25" s="47"/>
      <c r="C25" s="48" t="s">
        <v>734</v>
      </c>
      <c r="D25" s="48"/>
    </row>
    <row r="26" spans="2:4" ht="21" x14ac:dyDescent="0.35">
      <c r="B26" s="47"/>
      <c r="C26" s="48" t="s">
        <v>575</v>
      </c>
      <c r="D26" s="48"/>
    </row>
    <row r="27" spans="2:4" ht="21" x14ac:dyDescent="0.35">
      <c r="B27" s="47"/>
      <c r="C27" s="48" t="s">
        <v>693</v>
      </c>
      <c r="D27" s="48"/>
    </row>
    <row r="28" spans="2:4" ht="21" x14ac:dyDescent="0.35">
      <c r="B28" s="47"/>
      <c r="C28" s="48" t="s">
        <v>770</v>
      </c>
      <c r="D28" s="48"/>
    </row>
    <row r="29" spans="2:4" ht="21" x14ac:dyDescent="0.35">
      <c r="B29" s="47"/>
      <c r="C29" s="48" t="s">
        <v>772</v>
      </c>
      <c r="D29" s="48"/>
    </row>
    <row r="30" spans="2:4" ht="21" x14ac:dyDescent="0.35">
      <c r="B30" s="47"/>
      <c r="C30" s="48" t="s">
        <v>771</v>
      </c>
      <c r="D30" s="48"/>
    </row>
    <row r="31" spans="2:4" ht="21" x14ac:dyDescent="0.35">
      <c r="B31" s="47"/>
      <c r="C31" s="48" t="s">
        <v>800</v>
      </c>
      <c r="D31" s="48"/>
    </row>
    <row r="32" spans="2:4" ht="21" x14ac:dyDescent="0.35">
      <c r="B32" s="47"/>
      <c r="C32" s="48" t="s">
        <v>836</v>
      </c>
      <c r="D32" s="48"/>
    </row>
    <row r="33" spans="2:11" ht="21" x14ac:dyDescent="0.35">
      <c r="B33" s="47"/>
      <c r="C33" s="48" t="s">
        <v>1008</v>
      </c>
      <c r="D33" s="48"/>
    </row>
    <row r="34" spans="2:11" ht="21" x14ac:dyDescent="0.35">
      <c r="B34" s="47"/>
      <c r="C34" s="48" t="s">
        <v>1265</v>
      </c>
      <c r="D34" s="48"/>
    </row>
    <row r="35" spans="2:11" ht="21" x14ac:dyDescent="0.35">
      <c r="B35" s="47"/>
      <c r="C35" s="48" t="s">
        <v>1399</v>
      </c>
      <c r="D35" s="48"/>
    </row>
    <row r="36" spans="2:11" ht="21" x14ac:dyDescent="0.35">
      <c r="B36" s="47"/>
      <c r="C36" s="48" t="s">
        <v>1400</v>
      </c>
      <c r="D36" s="48"/>
    </row>
    <row r="37" spans="2:11" ht="21" x14ac:dyDescent="0.35">
      <c r="B37" s="47"/>
      <c r="C37" s="48"/>
    </row>
    <row r="38" spans="2:11" ht="21" x14ac:dyDescent="0.35">
      <c r="B38" s="47" t="s">
        <v>246</v>
      </c>
    </row>
    <row r="39" spans="2:11" ht="21" x14ac:dyDescent="0.35">
      <c r="B39" s="47"/>
      <c r="C39" s="48" t="s">
        <v>239</v>
      </c>
    </row>
    <row r="40" spans="2:11" ht="21" x14ac:dyDescent="0.35">
      <c r="B40" s="47"/>
      <c r="C40" s="48" t="s">
        <v>240</v>
      </c>
    </row>
    <row r="41" spans="2:11" ht="21" x14ac:dyDescent="0.35">
      <c r="B41" s="47"/>
      <c r="C41" s="48" t="s">
        <v>248</v>
      </c>
    </row>
    <row r="42" spans="2:11" ht="21" x14ac:dyDescent="0.35">
      <c r="B42" s="47"/>
      <c r="C42" s="48"/>
    </row>
    <row r="43" spans="2:11" ht="21" x14ac:dyDescent="0.35">
      <c r="B43" s="47" t="s">
        <v>264</v>
      </c>
    </row>
    <row r="44" spans="2:11" ht="21" x14ac:dyDescent="0.35">
      <c r="B44" s="47" t="s">
        <v>249</v>
      </c>
    </row>
    <row r="45" spans="2:11" ht="21" x14ac:dyDescent="0.35">
      <c r="B45" s="47" t="s">
        <v>701</v>
      </c>
      <c r="K45" s="47"/>
    </row>
    <row r="46" spans="2:11" ht="21" x14ac:dyDescent="0.35">
      <c r="B46" s="47" t="s">
        <v>298</v>
      </c>
    </row>
    <row r="47" spans="2:11" ht="21" x14ac:dyDescent="0.35">
      <c r="B47" s="47" t="s">
        <v>490</v>
      </c>
    </row>
    <row r="48" spans="2:11" ht="21" x14ac:dyDescent="0.35">
      <c r="B48" s="47" t="s">
        <v>769</v>
      </c>
    </row>
    <row r="49" spans="2:2" ht="21" x14ac:dyDescent="0.35">
      <c r="B49" s="47" t="s">
        <v>1402</v>
      </c>
    </row>
    <row r="51" spans="2:2" ht="21" x14ac:dyDescent="0.35">
      <c r="B51" s="48" t="s">
        <v>244</v>
      </c>
    </row>
    <row r="52" spans="2:2" ht="21" x14ac:dyDescent="0.35">
      <c r="B52" s="47" t="s">
        <v>1398</v>
      </c>
    </row>
    <row r="53" spans="2:2" ht="21" x14ac:dyDescent="0.35">
      <c r="B53" s="47" t="s">
        <v>283</v>
      </c>
    </row>
    <row r="54" spans="2:2" ht="21" x14ac:dyDescent="0.35">
      <c r="B54" s="47" t="s">
        <v>299</v>
      </c>
    </row>
    <row r="55" spans="2:2" ht="21" x14ac:dyDescent="0.35">
      <c r="B55" s="47" t="s">
        <v>303</v>
      </c>
    </row>
    <row r="56" spans="2:2" ht="21" x14ac:dyDescent="0.35">
      <c r="B56" s="47" t="s">
        <v>345</v>
      </c>
    </row>
    <row r="57" spans="2:2" ht="21" x14ac:dyDescent="0.35">
      <c r="B57" s="47" t="s">
        <v>367</v>
      </c>
    </row>
    <row r="58" spans="2:2" ht="21" x14ac:dyDescent="0.35">
      <c r="B58" s="47" t="s">
        <v>518</v>
      </c>
    </row>
    <row r="59" spans="2:2" ht="21" x14ac:dyDescent="0.35">
      <c r="B59" s="47" t="s">
        <v>517</v>
      </c>
    </row>
    <row r="60" spans="2:2" ht="21" x14ac:dyDescent="0.35">
      <c r="B60" s="47" t="s">
        <v>519</v>
      </c>
    </row>
    <row r="61" spans="2:2" ht="21" x14ac:dyDescent="0.35">
      <c r="B61" s="47" t="s">
        <v>574</v>
      </c>
    </row>
    <row r="62" spans="2:2" ht="21" x14ac:dyDescent="0.35">
      <c r="B62" s="47" t="s">
        <v>646</v>
      </c>
    </row>
    <row r="63" spans="2:2" ht="21" x14ac:dyDescent="0.35">
      <c r="B63" s="47" t="s">
        <v>735</v>
      </c>
    </row>
    <row r="64" spans="2:2" ht="21" x14ac:dyDescent="0.35">
      <c r="B64" s="47" t="s">
        <v>777</v>
      </c>
    </row>
    <row r="65" spans="2:2" ht="21" x14ac:dyDescent="0.35">
      <c r="B65" s="47" t="s">
        <v>840</v>
      </c>
    </row>
    <row r="66" spans="2:2" ht="21" x14ac:dyDescent="0.35">
      <c r="B66" s="47" t="s">
        <v>940</v>
      </c>
    </row>
    <row r="67" spans="2:2" ht="21" x14ac:dyDescent="0.35">
      <c r="B67" s="47" t="s">
        <v>967</v>
      </c>
    </row>
    <row r="68" spans="2:2" ht="21" x14ac:dyDescent="0.35">
      <c r="B68" s="47" t="s">
        <v>968</v>
      </c>
    </row>
    <row r="69" spans="2:2" ht="21" x14ac:dyDescent="0.35">
      <c r="B69" s="47" t="s">
        <v>973</v>
      </c>
    </row>
    <row r="70" spans="2:2" ht="21" x14ac:dyDescent="0.35">
      <c r="B70" s="47" t="s">
        <v>1014</v>
      </c>
    </row>
    <row r="71" spans="2:2" ht="21" x14ac:dyDescent="0.35">
      <c r="B71" s="47" t="s">
        <v>1052</v>
      </c>
    </row>
    <row r="72" spans="2:2" ht="21" x14ac:dyDescent="0.35">
      <c r="B72" s="47" t="s">
        <v>1105</v>
      </c>
    </row>
    <row r="73" spans="2:2" ht="21" x14ac:dyDescent="0.35">
      <c r="B73" s="47" t="s">
        <v>1266</v>
      </c>
    </row>
    <row r="74" spans="2:2" ht="21" x14ac:dyDescent="0.35">
      <c r="B74" s="47" t="s">
        <v>1290</v>
      </c>
    </row>
    <row r="75" spans="2:2" ht="21" x14ac:dyDescent="0.35">
      <c r="B75" s="47" t="s">
        <v>1309</v>
      </c>
    </row>
    <row r="76" spans="2:2" ht="21" x14ac:dyDescent="0.35">
      <c r="B76" s="47" t="s">
        <v>1372</v>
      </c>
    </row>
    <row r="77" spans="2:2" ht="21" x14ac:dyDescent="0.35">
      <c r="B77" s="47" t="s">
        <v>1397</v>
      </c>
    </row>
    <row r="79" spans="2:2" x14ac:dyDescent="0.25">
      <c r="B79" t="s">
        <v>1396</v>
      </c>
    </row>
  </sheetData>
  <sheetProtection password="CB17" sheet="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pageSetUpPr fitToPage="1"/>
  </sheetPr>
  <dimension ref="B1:AE36"/>
  <sheetViews>
    <sheetView showGridLines="0" showRowColHeaders="0" workbookViewId="0">
      <selection activeCell="C26" sqref="C26:F26"/>
    </sheetView>
  </sheetViews>
  <sheetFormatPr defaultRowHeight="15" x14ac:dyDescent="0.25"/>
  <cols>
    <col min="1" max="1" width="2.85546875" customWidth="1"/>
    <col min="2" max="2" width="3.42578125" customWidth="1"/>
    <col min="7" max="7" width="3.42578125" customWidth="1"/>
    <col min="12" max="12" width="2" customWidth="1"/>
    <col min="13" max="13" width="1.7109375" customWidth="1"/>
    <col min="14" max="14" width="2" customWidth="1"/>
    <col min="19" max="19" width="2" customWidth="1"/>
    <col min="20" max="20" width="1.7109375" customWidth="1"/>
    <col min="21" max="21" width="2" customWidth="1"/>
    <col min="26" max="26" width="3.42578125" customWidth="1"/>
    <col min="31" max="31" width="3.85546875" customWidth="1"/>
  </cols>
  <sheetData>
    <row r="1" spans="2:31" ht="15.75" thickBot="1" x14ac:dyDescent="0.3"/>
    <row r="2" spans="2:31" x14ac:dyDescent="0.25">
      <c r="B2" s="345"/>
      <c r="C2" s="353" t="s">
        <v>1293</v>
      </c>
      <c r="D2" s="346"/>
      <c r="E2" s="346"/>
      <c r="F2" s="346"/>
      <c r="G2" s="477"/>
      <c r="H2" s="346"/>
      <c r="I2" s="346"/>
      <c r="J2" s="346"/>
      <c r="K2" s="346"/>
      <c r="L2" s="477"/>
      <c r="M2" s="477"/>
      <c r="N2" s="477"/>
      <c r="O2" s="346"/>
      <c r="P2" s="346"/>
      <c r="Q2" s="346"/>
      <c r="R2" s="346"/>
      <c r="S2" s="477"/>
      <c r="T2" s="477"/>
      <c r="U2" s="477"/>
      <c r="V2" s="346"/>
      <c r="W2" s="346"/>
      <c r="X2" s="346"/>
      <c r="Y2" s="346"/>
      <c r="Z2" s="477"/>
      <c r="AA2" s="346"/>
      <c r="AB2" s="346"/>
      <c r="AC2" s="346"/>
      <c r="AD2" s="346"/>
      <c r="AE2" s="347"/>
    </row>
    <row r="3" spans="2:31" ht="9.75" customHeight="1" x14ac:dyDescent="0.25">
      <c r="B3" s="348"/>
      <c r="C3" s="233"/>
      <c r="D3" s="343"/>
      <c r="E3" s="343"/>
      <c r="F3" s="343"/>
      <c r="G3" s="474"/>
      <c r="H3" s="343"/>
      <c r="I3" s="343"/>
      <c r="J3" s="343"/>
      <c r="K3" s="343"/>
      <c r="L3" s="474"/>
      <c r="M3" s="474"/>
      <c r="N3" s="474"/>
      <c r="O3" s="343"/>
      <c r="P3" s="343"/>
      <c r="Q3" s="343"/>
      <c r="R3" s="343"/>
      <c r="S3" s="474"/>
      <c r="T3" s="474"/>
      <c r="U3" s="474"/>
      <c r="V3" s="343"/>
      <c r="W3" s="343"/>
      <c r="X3" s="343"/>
      <c r="Y3" s="343"/>
      <c r="Z3" s="474"/>
      <c r="AA3" s="343"/>
      <c r="AB3" s="343"/>
      <c r="AC3" s="343"/>
      <c r="AD3" s="343"/>
      <c r="AE3" s="349"/>
    </row>
    <row r="4" spans="2:31" x14ac:dyDescent="0.25">
      <c r="B4" s="348"/>
      <c r="C4" s="474" t="str">
        <f>IF(V17="Metric", "Strike Hot Liquor Tank Deadspace (liters)",  "Strike Hot Liquor Tank Deadspace (gal)")</f>
        <v>Strike Hot Liquor Tank Deadspace (gal)</v>
      </c>
      <c r="D4" s="474"/>
      <c r="E4" s="474"/>
      <c r="F4" s="474"/>
      <c r="G4" s="474"/>
      <c r="H4" s="474" t="str">
        <f>IF(V17="Metric", "Grain Absorption Loss (liters per kg)",  "Grain Absorption Loss (gallons per lb)")</f>
        <v>Grain Absorption Loss (gallons per lb)</v>
      </c>
      <c r="I4" s="474"/>
      <c r="J4" s="474"/>
      <c r="K4" s="474"/>
      <c r="L4" s="474"/>
      <c r="M4" s="474"/>
      <c r="N4" s="474"/>
      <c r="O4" s="474" t="str">
        <f>IF(V17="Metric", "Boil Off Liters per Hour",  "Boil Off Gallons per Hour")</f>
        <v>Boil Off Gallons per Hour</v>
      </c>
      <c r="P4" s="474"/>
      <c r="Q4" s="474"/>
      <c r="R4" s="474"/>
      <c r="S4" s="474"/>
      <c r="T4" s="474"/>
      <c r="U4" s="474"/>
      <c r="V4" s="474" t="str">
        <f>IF(V17="Metric", "Leaf Hop Trub Loss (liters per kilogram)",  "Leaf Hop Trub Loss (gallons per ounce)")</f>
        <v>Leaf Hop Trub Loss (gallons per ounce)</v>
      </c>
      <c r="W4" s="474"/>
      <c r="X4" s="474"/>
      <c r="Y4" s="474"/>
      <c r="Z4" s="474"/>
      <c r="AA4" s="474" t="str">
        <f>IF(V17="Metric", "Pellet Hop Trub Loss (liters per kilogram)",  "Pellet Hop Trub Loss (gallons per ounce)")</f>
        <v>Pellet Hop Trub Loss (gallons per ounce)</v>
      </c>
      <c r="AB4" s="474"/>
      <c r="AC4" s="474"/>
      <c r="AD4" s="474"/>
      <c r="AE4" s="349"/>
    </row>
    <row r="5" spans="2:31" x14ac:dyDescent="0.25">
      <c r="B5" s="348"/>
      <c r="C5" s="470">
        <v>0</v>
      </c>
      <c r="D5" s="471"/>
      <c r="E5" s="471"/>
      <c r="F5" s="472"/>
      <c r="G5" s="474"/>
      <c r="H5" s="470">
        <v>0.12</v>
      </c>
      <c r="I5" s="471"/>
      <c r="J5" s="471"/>
      <c r="K5" s="472"/>
      <c r="L5" s="474"/>
      <c r="M5" s="474"/>
      <c r="N5" s="474"/>
      <c r="O5" s="470">
        <v>1.2</v>
      </c>
      <c r="P5" s="471"/>
      <c r="Q5" s="471"/>
      <c r="R5" s="472"/>
      <c r="S5" s="474"/>
      <c r="T5" s="474"/>
      <c r="U5" s="474"/>
      <c r="V5" s="470">
        <v>6.25E-2</v>
      </c>
      <c r="W5" s="471"/>
      <c r="X5" s="471"/>
      <c r="Y5" s="472"/>
      <c r="Z5" s="474"/>
      <c r="AA5" s="470">
        <v>2.5000000000000001E-2</v>
      </c>
      <c r="AB5" s="471"/>
      <c r="AC5" s="471"/>
      <c r="AD5" s="472"/>
      <c r="AE5" s="349"/>
    </row>
    <row r="6" spans="2:31" x14ac:dyDescent="0.25">
      <c r="B6" s="348"/>
      <c r="C6" s="240"/>
      <c r="D6" s="342"/>
      <c r="E6" s="342"/>
      <c r="F6" s="241"/>
      <c r="G6" s="474"/>
      <c r="H6" s="343"/>
      <c r="I6" s="343"/>
      <c r="J6" s="343"/>
      <c r="K6" s="343"/>
      <c r="L6" s="474"/>
      <c r="M6" s="474"/>
      <c r="N6" s="474"/>
      <c r="O6" s="343"/>
      <c r="P6" s="343"/>
      <c r="Q6" s="343"/>
      <c r="R6" s="343"/>
      <c r="S6" s="474"/>
      <c r="T6" s="474"/>
      <c r="U6" s="474"/>
      <c r="V6" s="343"/>
      <c r="W6" s="343"/>
      <c r="X6" s="343"/>
      <c r="Y6" s="343"/>
      <c r="Z6" s="474"/>
      <c r="AA6" s="343"/>
      <c r="AB6" s="343"/>
      <c r="AC6" s="343"/>
      <c r="AD6" s="343"/>
      <c r="AE6" s="349"/>
    </row>
    <row r="7" spans="2:31" x14ac:dyDescent="0.25">
      <c r="B7" s="348"/>
      <c r="C7" s="475" t="str">
        <f>IF(V17="Metric", "Sparge Hot Liquor Tank Deadspace (liters)",  "Sparge Hot Liquor Tank Deadspace (gal)")</f>
        <v>Sparge Hot Liquor Tank Deadspace (gal)</v>
      </c>
      <c r="D7" s="469"/>
      <c r="E7" s="469"/>
      <c r="F7" s="476"/>
      <c r="G7" s="474"/>
      <c r="H7" s="474" t="str">
        <f>IF(V17="Metric", "Mash Tun Capacity (liters)",  "Mash Tun Capacity (gallons)")</f>
        <v>Mash Tun Capacity (gallons)</v>
      </c>
      <c r="I7" s="474"/>
      <c r="J7" s="474"/>
      <c r="K7" s="474"/>
      <c r="L7" s="474"/>
      <c r="M7" s="474"/>
      <c r="N7" s="474"/>
      <c r="O7" s="474" t="str">
        <f>IF(V17="Metric", "Cooling Loss Liters",  "Cooling Loss Gallons")</f>
        <v>Cooling Loss Gallons</v>
      </c>
      <c r="P7" s="474"/>
      <c r="Q7" s="474"/>
      <c r="R7" s="474"/>
      <c r="S7" s="474"/>
      <c r="T7" s="474"/>
      <c r="U7" s="474"/>
      <c r="V7" s="474" t="str">
        <f>IF(V17="Metric", "Kettle Deadspace (liters)",  "Kettle Deadspace (gallons)")</f>
        <v>Kettle Deadspace (gallons)</v>
      </c>
      <c r="W7" s="474"/>
      <c r="X7" s="474"/>
      <c r="Y7" s="474"/>
      <c r="Z7" s="474"/>
      <c r="AA7" s="469" t="str">
        <f>IF(V17="Metric", " Hose/Pump/Siphon Loss (liters)",  " Hose/Pump/Siphon Loss (gallons)")</f>
        <v xml:space="preserve"> Hose/Pump/Siphon Loss (gallons)</v>
      </c>
      <c r="AB7" s="469"/>
      <c r="AC7" s="469"/>
      <c r="AD7" s="469"/>
      <c r="AE7" s="349"/>
    </row>
    <row r="8" spans="2:31" x14ac:dyDescent="0.25">
      <c r="B8" s="348"/>
      <c r="C8" s="470">
        <v>0</v>
      </c>
      <c r="D8" s="471"/>
      <c r="E8" s="471"/>
      <c r="F8" s="472"/>
      <c r="G8" s="474"/>
      <c r="H8" s="470">
        <v>13</v>
      </c>
      <c r="I8" s="471"/>
      <c r="J8" s="471"/>
      <c r="K8" s="472"/>
      <c r="L8" s="474"/>
      <c r="M8" s="474"/>
      <c r="N8" s="474"/>
      <c r="O8" s="470">
        <v>0</v>
      </c>
      <c r="P8" s="471"/>
      <c r="Q8" s="471"/>
      <c r="R8" s="472"/>
      <c r="S8" s="474"/>
      <c r="T8" s="474"/>
      <c r="U8" s="474"/>
      <c r="V8" s="470">
        <v>0</v>
      </c>
      <c r="W8" s="471"/>
      <c r="X8" s="471"/>
      <c r="Y8" s="472"/>
      <c r="Z8" s="474"/>
      <c r="AA8" s="470">
        <v>0</v>
      </c>
      <c r="AB8" s="471"/>
      <c r="AC8" s="471"/>
      <c r="AD8" s="472"/>
      <c r="AE8" s="349"/>
    </row>
    <row r="9" spans="2:31" x14ac:dyDescent="0.25">
      <c r="B9" s="348"/>
      <c r="C9" s="240"/>
      <c r="D9" s="342"/>
      <c r="E9" s="342"/>
      <c r="F9" s="241"/>
      <c r="G9" s="474"/>
      <c r="H9" s="343"/>
      <c r="I9" s="343"/>
      <c r="J9" s="343"/>
      <c r="K9" s="343"/>
      <c r="L9" s="474"/>
      <c r="M9" s="474"/>
      <c r="N9" s="474"/>
      <c r="O9" s="343"/>
      <c r="P9" s="343"/>
      <c r="Q9" s="343"/>
      <c r="R9" s="343"/>
      <c r="S9" s="474"/>
      <c r="T9" s="474"/>
      <c r="U9" s="474"/>
      <c r="V9" s="240"/>
      <c r="W9" s="342"/>
      <c r="X9" s="342"/>
      <c r="Y9" s="241"/>
      <c r="Z9" s="474"/>
      <c r="AA9" s="343"/>
      <c r="AB9" s="343"/>
      <c r="AC9" s="343"/>
      <c r="AD9" s="343"/>
      <c r="AE9" s="349"/>
    </row>
    <row r="10" spans="2:31" x14ac:dyDescent="0.25">
      <c r="B10" s="348"/>
      <c r="C10" s="475" t="s">
        <v>798</v>
      </c>
      <c r="D10" s="469"/>
      <c r="E10" s="469"/>
      <c r="F10" s="476"/>
      <c r="G10" s="474"/>
      <c r="H10" s="474" t="str">
        <f>IF(O23="Metric", "Mash Tun Dead Space (liters)",  "Mash Tun Dead Space (gallons)")</f>
        <v>Mash Tun Dead Space (gallons)</v>
      </c>
      <c r="I10" s="474"/>
      <c r="J10" s="474"/>
      <c r="K10" s="474"/>
      <c r="L10" s="474"/>
      <c r="M10" s="474"/>
      <c r="N10" s="474"/>
      <c r="O10" s="474"/>
      <c r="P10" s="474"/>
      <c r="Q10" s="474"/>
      <c r="R10" s="474"/>
      <c r="S10" s="474"/>
      <c r="T10" s="474"/>
      <c r="U10" s="474"/>
      <c r="V10" s="475" t="s">
        <v>300</v>
      </c>
      <c r="W10" s="469"/>
      <c r="X10" s="469"/>
      <c r="Y10" s="476"/>
      <c r="Z10" s="474"/>
      <c r="AA10" s="474"/>
      <c r="AB10" s="474"/>
      <c r="AC10" s="474"/>
      <c r="AD10" s="474"/>
      <c r="AE10" s="349"/>
    </row>
    <row r="11" spans="2:31" x14ac:dyDescent="0.25">
      <c r="B11" s="348"/>
      <c r="C11" s="464" t="s">
        <v>302</v>
      </c>
      <c r="D11" s="465"/>
      <c r="E11" s="465"/>
      <c r="F11" s="466"/>
      <c r="G11" s="474"/>
      <c r="H11" s="470">
        <v>6.25E-2</v>
      </c>
      <c r="I11" s="471"/>
      <c r="J11" s="471"/>
      <c r="K11" s="472"/>
      <c r="L11" s="474"/>
      <c r="M11" s="474"/>
      <c r="N11" s="474"/>
      <c r="O11" s="473"/>
      <c r="P11" s="473"/>
      <c r="Q11" s="473"/>
      <c r="R11" s="473"/>
      <c r="S11" s="474"/>
      <c r="T11" s="474"/>
      <c r="U11" s="474"/>
      <c r="V11" s="464" t="s">
        <v>302</v>
      </c>
      <c r="W11" s="465"/>
      <c r="X11" s="465"/>
      <c r="Y11" s="466"/>
      <c r="Z11" s="474"/>
      <c r="AA11" s="473"/>
      <c r="AB11" s="473"/>
      <c r="AC11" s="473"/>
      <c r="AD11" s="473"/>
      <c r="AE11" s="349"/>
    </row>
    <row r="12" spans="2:31" ht="15.75" thickBot="1" x14ac:dyDescent="0.3">
      <c r="B12" s="350"/>
      <c r="C12" s="351"/>
      <c r="D12" s="351"/>
      <c r="E12" s="351"/>
      <c r="F12" s="351"/>
      <c r="G12" s="478"/>
      <c r="H12" s="351"/>
      <c r="I12" s="351"/>
      <c r="J12" s="351"/>
      <c r="K12" s="351"/>
      <c r="L12" s="478"/>
      <c r="M12" s="478"/>
      <c r="N12" s="478"/>
      <c r="O12" s="351"/>
      <c r="P12" s="351"/>
      <c r="Q12" s="351"/>
      <c r="R12" s="351"/>
      <c r="S12" s="478"/>
      <c r="T12" s="478"/>
      <c r="U12" s="478"/>
      <c r="V12" s="351"/>
      <c r="W12" s="351"/>
      <c r="X12" s="351"/>
      <c r="Y12" s="351"/>
      <c r="Z12" s="478"/>
      <c r="AA12" s="351"/>
      <c r="AB12" s="351"/>
      <c r="AC12" s="351"/>
      <c r="AD12" s="351"/>
      <c r="AE12" s="352"/>
    </row>
    <row r="13" spans="2:31" ht="15.75" thickBot="1" x14ac:dyDescent="0.3">
      <c r="C13" s="468"/>
      <c r="D13" s="468"/>
      <c r="E13" s="468"/>
      <c r="F13" s="468"/>
      <c r="H13" s="468"/>
      <c r="I13" s="468"/>
      <c r="J13" s="468"/>
      <c r="K13" s="468"/>
      <c r="O13" s="468"/>
      <c r="P13" s="468"/>
      <c r="Q13" s="468"/>
      <c r="R13" s="468"/>
      <c r="V13" s="468"/>
      <c r="W13" s="468"/>
      <c r="X13" s="468"/>
      <c r="Y13" s="468"/>
      <c r="AA13" s="468"/>
      <c r="AB13" s="468"/>
      <c r="AC13" s="468"/>
      <c r="AD13" s="468"/>
    </row>
    <row r="14" spans="2:31" x14ac:dyDescent="0.25">
      <c r="B14" s="345"/>
      <c r="C14" s="355" t="s">
        <v>998</v>
      </c>
      <c r="D14" s="354"/>
      <c r="E14" s="354"/>
      <c r="F14" s="354"/>
      <c r="G14" s="346"/>
      <c r="H14" s="354"/>
      <c r="I14" s="354"/>
      <c r="J14" s="354"/>
      <c r="K14" s="354"/>
      <c r="L14" s="347"/>
      <c r="M14" s="343"/>
      <c r="N14" s="345"/>
      <c r="O14" s="355" t="s">
        <v>999</v>
      </c>
      <c r="P14" s="354"/>
      <c r="Q14" s="354"/>
      <c r="R14" s="354"/>
      <c r="S14" s="347"/>
      <c r="T14" s="343"/>
      <c r="U14" s="345"/>
      <c r="V14" s="355" t="s">
        <v>1000</v>
      </c>
      <c r="W14" s="354"/>
      <c r="X14" s="354"/>
      <c r="Y14" s="354"/>
      <c r="Z14" s="346"/>
      <c r="AA14" s="354"/>
      <c r="AB14" s="354"/>
      <c r="AC14" s="354"/>
      <c r="AD14" s="354"/>
      <c r="AE14" s="347"/>
    </row>
    <row r="15" spans="2:31" ht="9.75" customHeight="1" x14ac:dyDescent="0.25">
      <c r="B15" s="348"/>
      <c r="C15" s="344"/>
      <c r="D15" s="344"/>
      <c r="E15" s="344"/>
      <c r="F15" s="344"/>
      <c r="G15" s="343"/>
      <c r="H15" s="344"/>
      <c r="I15" s="344"/>
      <c r="J15" s="344"/>
      <c r="K15" s="344"/>
      <c r="L15" s="349"/>
      <c r="M15" s="343"/>
      <c r="N15" s="348"/>
      <c r="O15" s="344"/>
      <c r="P15" s="344"/>
      <c r="Q15" s="344"/>
      <c r="R15" s="344"/>
      <c r="S15" s="349"/>
      <c r="T15" s="343"/>
      <c r="U15" s="348"/>
      <c r="V15" s="344"/>
      <c r="W15" s="344"/>
      <c r="X15" s="344"/>
      <c r="Y15" s="344"/>
      <c r="Z15" s="343"/>
      <c r="AA15" s="344"/>
      <c r="AB15" s="344"/>
      <c r="AC15" s="344"/>
      <c r="AD15" s="344"/>
      <c r="AE15" s="349"/>
    </row>
    <row r="16" spans="2:31" x14ac:dyDescent="0.25">
      <c r="B16" s="348"/>
      <c r="C16" s="468" t="s">
        <v>50</v>
      </c>
      <c r="D16" s="468"/>
      <c r="E16" s="468"/>
      <c r="F16" s="468"/>
      <c r="G16" s="343"/>
      <c r="H16" s="469" t="str">
        <f>IF(V17="Metric", "Mash Tun Heat Loss per Hour (degrees C)",  "Mash Tun Heat Loss per Hour (degrees F)")</f>
        <v>Mash Tun Heat Loss per Hour (degrees F)</v>
      </c>
      <c r="I16" s="469"/>
      <c r="J16" s="469"/>
      <c r="K16" s="469"/>
      <c r="L16" s="349"/>
      <c r="M16" s="343"/>
      <c r="N16" s="348"/>
      <c r="O16" s="468" t="s">
        <v>834</v>
      </c>
      <c r="P16" s="468"/>
      <c r="Q16" s="468"/>
      <c r="R16" s="468"/>
      <c r="S16" s="349"/>
      <c r="T16" s="343"/>
      <c r="U16" s="348"/>
      <c r="V16" s="468" t="s">
        <v>780</v>
      </c>
      <c r="W16" s="468"/>
      <c r="X16" s="468"/>
      <c r="Y16" s="468"/>
      <c r="Z16" s="343"/>
      <c r="AA16" s="468" t="s">
        <v>823</v>
      </c>
      <c r="AB16" s="468"/>
      <c r="AC16" s="468"/>
      <c r="AD16" s="468"/>
      <c r="AE16" s="349"/>
    </row>
    <row r="17" spans="2:31" x14ac:dyDescent="0.25">
      <c r="B17" s="348"/>
      <c r="C17" s="479">
        <v>0.74</v>
      </c>
      <c r="D17" s="480"/>
      <c r="E17" s="480"/>
      <c r="F17" s="481"/>
      <c r="G17" s="343"/>
      <c r="H17" s="482">
        <v>2</v>
      </c>
      <c r="I17" s="483"/>
      <c r="J17" s="483"/>
      <c r="K17" s="484"/>
      <c r="L17" s="349"/>
      <c r="M17" s="343"/>
      <c r="N17" s="348"/>
      <c r="O17" s="464" t="s">
        <v>302</v>
      </c>
      <c r="P17" s="465"/>
      <c r="Q17" s="465"/>
      <c r="R17" s="466"/>
      <c r="S17" s="349"/>
      <c r="T17" s="343"/>
      <c r="U17" s="348"/>
      <c r="V17" s="464" t="s">
        <v>838</v>
      </c>
      <c r="W17" s="465"/>
      <c r="X17" s="465"/>
      <c r="Y17" s="466"/>
      <c r="Z17" s="343"/>
      <c r="AA17" s="464" t="s">
        <v>839</v>
      </c>
      <c r="AB17" s="465"/>
      <c r="AC17" s="465"/>
      <c r="AD17" s="466"/>
      <c r="AE17" s="349"/>
    </row>
    <row r="18" spans="2:31" ht="15.75" thickBot="1" x14ac:dyDescent="0.3">
      <c r="B18" s="350"/>
      <c r="C18" s="351"/>
      <c r="D18" s="351"/>
      <c r="E18" s="351"/>
      <c r="F18" s="351"/>
      <c r="G18" s="351"/>
      <c r="H18" s="351"/>
      <c r="I18" s="351"/>
      <c r="J18" s="351"/>
      <c r="K18" s="351"/>
      <c r="L18" s="352"/>
      <c r="M18" s="343"/>
      <c r="N18" s="350"/>
      <c r="O18" s="351"/>
      <c r="P18" s="351"/>
      <c r="Q18" s="351"/>
      <c r="R18" s="351"/>
      <c r="S18" s="352"/>
      <c r="T18" s="343"/>
      <c r="U18" s="350"/>
      <c r="V18" s="351"/>
      <c r="W18" s="351"/>
      <c r="X18" s="351"/>
      <c r="Y18" s="351"/>
      <c r="Z18" s="351"/>
      <c r="AA18" s="351"/>
      <c r="AB18" s="351"/>
      <c r="AC18" s="351"/>
      <c r="AD18" s="351"/>
      <c r="AE18" s="352"/>
    </row>
    <row r="19" spans="2:31" ht="15.75" thickBot="1" x14ac:dyDescent="0.3">
      <c r="B19" s="346"/>
      <c r="C19" s="477"/>
      <c r="D19" s="477"/>
      <c r="E19" s="477"/>
      <c r="F19" s="477"/>
      <c r="G19" s="346"/>
      <c r="H19" s="477"/>
      <c r="I19" s="477"/>
      <c r="J19" s="477"/>
      <c r="K19" s="477"/>
      <c r="L19" s="346"/>
      <c r="M19" s="343"/>
      <c r="O19" s="468"/>
      <c r="P19" s="468"/>
      <c r="Q19" s="468"/>
      <c r="R19" s="468"/>
      <c r="V19" s="468"/>
      <c r="W19" s="468"/>
      <c r="X19" s="468"/>
      <c r="Y19" s="468"/>
      <c r="AA19" s="468"/>
      <c r="AB19" s="468"/>
      <c r="AC19" s="468"/>
      <c r="AD19" s="468"/>
    </row>
    <row r="20" spans="2:31" x14ac:dyDescent="0.25">
      <c r="B20" s="345"/>
      <c r="C20" s="355" t="s">
        <v>1001</v>
      </c>
      <c r="D20" s="354"/>
      <c r="E20" s="354"/>
      <c r="F20" s="354"/>
      <c r="G20" s="346"/>
      <c r="H20" s="354"/>
      <c r="I20" s="354"/>
      <c r="J20" s="354"/>
      <c r="K20" s="354"/>
      <c r="L20" s="346"/>
      <c r="M20" s="346"/>
      <c r="N20" s="346"/>
      <c r="O20" s="354"/>
      <c r="P20" s="354"/>
      <c r="Q20" s="354"/>
      <c r="R20" s="354"/>
      <c r="S20" s="346"/>
      <c r="T20" s="346"/>
      <c r="U20" s="346"/>
      <c r="V20" s="354"/>
      <c r="W20" s="354"/>
      <c r="X20" s="354"/>
      <c r="Y20" s="354"/>
      <c r="Z20" s="346"/>
      <c r="AA20" s="354"/>
      <c r="AB20" s="354"/>
      <c r="AC20" s="354"/>
      <c r="AD20" s="354"/>
      <c r="AE20" s="347"/>
    </row>
    <row r="21" spans="2:31" ht="9.75" customHeight="1" x14ac:dyDescent="0.25">
      <c r="B21" s="348"/>
      <c r="C21" s="344"/>
      <c r="D21" s="344"/>
      <c r="E21" s="344"/>
      <c r="F21" s="344"/>
      <c r="G21" s="343"/>
      <c r="H21" s="344"/>
      <c r="I21" s="344"/>
      <c r="J21" s="344"/>
      <c r="K21" s="344"/>
      <c r="L21" s="343"/>
      <c r="M21" s="343"/>
      <c r="N21" s="343"/>
      <c r="O21" s="344"/>
      <c r="P21" s="344"/>
      <c r="Q21" s="344"/>
      <c r="R21" s="344"/>
      <c r="S21" s="343"/>
      <c r="T21" s="343"/>
      <c r="U21" s="343"/>
      <c r="V21" s="344"/>
      <c r="W21" s="344"/>
      <c r="X21" s="344"/>
      <c r="Y21" s="344"/>
      <c r="Z21" s="343"/>
      <c r="AA21" s="344"/>
      <c r="AB21" s="344"/>
      <c r="AC21" s="344"/>
      <c r="AD21" s="344"/>
      <c r="AE21" s="349"/>
    </row>
    <row r="22" spans="2:31" x14ac:dyDescent="0.25">
      <c r="B22" s="348"/>
      <c r="C22" s="468" t="s">
        <v>578</v>
      </c>
      <c r="D22" s="468"/>
      <c r="E22" s="468"/>
      <c r="F22" s="468"/>
      <c r="G22" s="343"/>
      <c r="H22" s="467" t="s">
        <v>1395</v>
      </c>
      <c r="I22" s="467"/>
      <c r="J22" s="467"/>
      <c r="K22" s="467"/>
      <c r="L22" s="343"/>
      <c r="M22" s="343"/>
      <c r="N22" s="343"/>
      <c r="O22" s="467" t="s">
        <v>642</v>
      </c>
      <c r="P22" s="467"/>
      <c r="Q22" s="467"/>
      <c r="R22" s="467"/>
      <c r="S22" s="343"/>
      <c r="T22" s="343"/>
      <c r="U22" s="343"/>
      <c r="V22" s="467" t="s">
        <v>643</v>
      </c>
      <c r="W22" s="467"/>
      <c r="X22" s="467"/>
      <c r="Y22" s="467"/>
      <c r="Z22" s="343"/>
      <c r="AA22" s="467" t="s">
        <v>970</v>
      </c>
      <c r="AB22" s="467"/>
      <c r="AC22" s="467"/>
      <c r="AD22" s="467"/>
      <c r="AE22" s="349"/>
    </row>
    <row r="23" spans="2:31" x14ac:dyDescent="0.25">
      <c r="B23" s="348"/>
      <c r="C23" s="464" t="s">
        <v>645</v>
      </c>
      <c r="D23" s="465"/>
      <c r="E23" s="465"/>
      <c r="F23" s="466"/>
      <c r="G23" s="343"/>
      <c r="H23" s="494">
        <v>750000</v>
      </c>
      <c r="I23" s="495"/>
      <c r="J23" s="495"/>
      <c r="K23" s="496"/>
      <c r="L23" s="343"/>
      <c r="M23" s="343"/>
      <c r="N23" s="343"/>
      <c r="O23" s="494">
        <v>1500000</v>
      </c>
      <c r="P23" s="495"/>
      <c r="Q23" s="495"/>
      <c r="R23" s="496"/>
      <c r="S23" s="343"/>
      <c r="T23" s="343"/>
      <c r="U23" s="343"/>
      <c r="V23" s="494">
        <v>1000000</v>
      </c>
      <c r="W23" s="495"/>
      <c r="X23" s="495"/>
      <c r="Y23" s="496"/>
      <c r="Z23" s="343"/>
      <c r="AA23" s="485">
        <v>25</v>
      </c>
      <c r="AB23" s="486"/>
      <c r="AC23" s="486"/>
      <c r="AD23" s="487"/>
      <c r="AE23" s="349"/>
    </row>
    <row r="24" spans="2:31" x14ac:dyDescent="0.25">
      <c r="B24" s="348"/>
      <c r="C24" s="343"/>
      <c r="D24" s="343"/>
      <c r="E24" s="343"/>
      <c r="F24" s="343"/>
      <c r="G24" s="343"/>
      <c r="H24" s="343"/>
      <c r="I24" s="343"/>
      <c r="J24" s="343"/>
      <c r="K24" s="343"/>
      <c r="L24" s="343"/>
      <c r="M24" s="343"/>
      <c r="N24" s="343"/>
      <c r="O24" s="343"/>
      <c r="P24" s="343"/>
      <c r="Q24" s="343"/>
      <c r="R24" s="343"/>
      <c r="S24" s="343"/>
      <c r="T24" s="343"/>
      <c r="U24" s="343"/>
      <c r="V24" s="343"/>
      <c r="W24" s="343"/>
      <c r="X24" s="343"/>
      <c r="Y24" s="343"/>
      <c r="Z24" s="343"/>
      <c r="AA24" s="240"/>
      <c r="AB24" s="342"/>
      <c r="AC24" s="342"/>
      <c r="AD24" s="241"/>
      <c r="AE24" s="349"/>
    </row>
    <row r="25" spans="2:31" x14ac:dyDescent="0.25">
      <c r="B25" s="348"/>
      <c r="C25" s="467" t="s">
        <v>799</v>
      </c>
      <c r="D25" s="467"/>
      <c r="E25" s="467"/>
      <c r="F25" s="467"/>
      <c r="G25" s="343"/>
      <c r="H25" s="467" t="s">
        <v>644</v>
      </c>
      <c r="I25" s="467"/>
      <c r="J25" s="467"/>
      <c r="K25" s="467"/>
      <c r="L25" s="343"/>
      <c r="M25" s="343"/>
      <c r="N25" s="343"/>
      <c r="O25" s="467" t="s">
        <v>651</v>
      </c>
      <c r="P25" s="467"/>
      <c r="Q25" s="467"/>
      <c r="R25" s="467"/>
      <c r="S25" s="343"/>
      <c r="T25" s="343"/>
      <c r="U25" s="343"/>
      <c r="V25" s="467" t="s">
        <v>652</v>
      </c>
      <c r="W25" s="467"/>
      <c r="X25" s="467"/>
      <c r="Y25" s="467"/>
      <c r="Z25" s="343"/>
      <c r="AA25" s="491" t="s">
        <v>971</v>
      </c>
      <c r="AB25" s="492"/>
      <c r="AC25" s="492"/>
      <c r="AD25" s="493"/>
      <c r="AE25" s="349"/>
    </row>
    <row r="26" spans="2:31" x14ac:dyDescent="0.25">
      <c r="B26" s="348"/>
      <c r="C26" s="485">
        <v>220</v>
      </c>
      <c r="D26" s="486"/>
      <c r="E26" s="486"/>
      <c r="F26" s="487"/>
      <c r="G26" s="343"/>
      <c r="H26" s="488">
        <v>7.0000000000000001E-3</v>
      </c>
      <c r="I26" s="489"/>
      <c r="J26" s="489"/>
      <c r="K26" s="490"/>
      <c r="L26" s="343"/>
      <c r="M26" s="343"/>
      <c r="N26" s="343"/>
      <c r="O26" s="485">
        <v>2.4</v>
      </c>
      <c r="P26" s="486"/>
      <c r="Q26" s="486"/>
      <c r="R26" s="487"/>
      <c r="S26" s="343"/>
      <c r="T26" s="343"/>
      <c r="U26" s="343"/>
      <c r="V26" s="485">
        <v>15</v>
      </c>
      <c r="W26" s="486"/>
      <c r="X26" s="486"/>
      <c r="Y26" s="487"/>
      <c r="Z26" s="343"/>
      <c r="AA26" s="485">
        <v>100</v>
      </c>
      <c r="AB26" s="486"/>
      <c r="AC26" s="486"/>
      <c r="AD26" s="487"/>
      <c r="AE26" s="349"/>
    </row>
    <row r="27" spans="2:31" ht="15.75" thickBot="1" x14ac:dyDescent="0.3">
      <c r="B27" s="350"/>
      <c r="C27" s="351"/>
      <c r="D27" s="351"/>
      <c r="E27" s="351"/>
      <c r="F27" s="351"/>
      <c r="G27" s="351"/>
      <c r="H27" s="351"/>
      <c r="I27" s="351"/>
      <c r="J27" s="351"/>
      <c r="K27" s="351"/>
      <c r="L27" s="351"/>
      <c r="M27" s="351"/>
      <c r="N27" s="351"/>
      <c r="O27" s="351"/>
      <c r="P27" s="351"/>
      <c r="Q27" s="351"/>
      <c r="R27" s="351"/>
      <c r="S27" s="351"/>
      <c r="T27" s="351"/>
      <c r="U27" s="351"/>
      <c r="V27" s="351"/>
      <c r="W27" s="351"/>
      <c r="X27" s="351"/>
      <c r="Y27" s="351"/>
      <c r="Z27" s="351"/>
      <c r="AA27" s="351"/>
      <c r="AB27" s="351"/>
      <c r="AC27" s="351"/>
      <c r="AD27" s="351"/>
      <c r="AE27" s="352"/>
    </row>
    <row r="28" spans="2:31" ht="15.75" thickBot="1" x14ac:dyDescent="0.3">
      <c r="C28" s="468"/>
      <c r="D28" s="468"/>
      <c r="E28" s="468"/>
      <c r="F28" s="468"/>
      <c r="H28" s="468"/>
      <c r="I28" s="468"/>
      <c r="J28" s="468"/>
      <c r="K28" s="468"/>
      <c r="O28" s="468"/>
      <c r="P28" s="468"/>
      <c r="Q28" s="468"/>
      <c r="R28" s="468"/>
      <c r="V28" s="468"/>
      <c r="W28" s="468"/>
      <c r="X28" s="468"/>
      <c r="Y28" s="468"/>
      <c r="AA28" s="468"/>
      <c r="AB28" s="468"/>
      <c r="AC28" s="468"/>
      <c r="AD28" s="468"/>
    </row>
    <row r="29" spans="2:31" ht="15" customHeight="1" x14ac:dyDescent="0.25">
      <c r="B29" s="345"/>
      <c r="C29" s="355" t="s">
        <v>1002</v>
      </c>
      <c r="D29" s="354"/>
      <c r="E29" s="354"/>
      <c r="F29" s="354"/>
      <c r="G29" s="346"/>
      <c r="H29" s="354"/>
      <c r="I29" s="354"/>
      <c r="J29" s="354"/>
      <c r="K29" s="354"/>
      <c r="L29" s="347"/>
      <c r="N29" s="361"/>
      <c r="O29" s="355" t="s">
        <v>1037</v>
      </c>
      <c r="P29" s="362"/>
      <c r="Q29" s="362"/>
      <c r="R29" s="362"/>
      <c r="S29" s="363"/>
      <c r="T29" s="360"/>
      <c r="U29" s="360"/>
      <c r="V29" s="504" t="s">
        <v>1045</v>
      </c>
      <c r="W29" s="505"/>
      <c r="X29" s="505"/>
      <c r="Y29" s="505"/>
      <c r="Z29" s="505"/>
      <c r="AA29" s="505"/>
      <c r="AB29" s="505"/>
      <c r="AC29" s="505"/>
      <c r="AD29" s="505"/>
      <c r="AE29" s="506"/>
    </row>
    <row r="30" spans="2:31" ht="9.75" customHeight="1" x14ac:dyDescent="0.25">
      <c r="B30" s="348"/>
      <c r="C30" s="344"/>
      <c r="D30" s="344"/>
      <c r="E30" s="344"/>
      <c r="F30" s="344"/>
      <c r="G30" s="343"/>
      <c r="H30" s="344"/>
      <c r="I30" s="344"/>
      <c r="J30" s="344"/>
      <c r="K30" s="344"/>
      <c r="L30" s="349"/>
      <c r="N30" s="364"/>
      <c r="O30" s="360"/>
      <c r="P30" s="360"/>
      <c r="Q30" s="360"/>
      <c r="R30" s="360"/>
      <c r="S30" s="365"/>
      <c r="T30" s="360"/>
      <c r="U30" s="360"/>
      <c r="V30" s="507"/>
      <c r="W30" s="508"/>
      <c r="X30" s="508"/>
      <c r="Y30" s="508"/>
      <c r="Z30" s="508"/>
      <c r="AA30" s="508"/>
      <c r="AB30" s="508"/>
      <c r="AC30" s="508"/>
      <c r="AD30" s="508"/>
      <c r="AE30" s="509"/>
    </row>
    <row r="31" spans="2:31" x14ac:dyDescent="0.25">
      <c r="B31" s="348"/>
      <c r="C31" s="492" t="s">
        <v>255</v>
      </c>
      <c r="D31" s="492"/>
      <c r="E31" s="492"/>
      <c r="F31" s="492"/>
      <c r="G31" s="343"/>
      <c r="H31" s="468" t="s">
        <v>1021</v>
      </c>
      <c r="I31" s="467"/>
      <c r="J31" s="467"/>
      <c r="K31" s="467"/>
      <c r="L31" s="349"/>
      <c r="N31" s="364"/>
      <c r="O31" s="474" t="s">
        <v>1036</v>
      </c>
      <c r="P31" s="500"/>
      <c r="Q31" s="500"/>
      <c r="R31" s="500"/>
      <c r="S31" s="365"/>
      <c r="T31" s="360"/>
      <c r="U31" s="360"/>
      <c r="V31" s="507"/>
      <c r="W31" s="508"/>
      <c r="X31" s="508"/>
      <c r="Y31" s="508"/>
      <c r="Z31" s="508"/>
      <c r="AA31" s="508"/>
      <c r="AB31" s="508"/>
      <c r="AC31" s="508"/>
      <c r="AD31" s="508"/>
      <c r="AE31" s="509"/>
    </row>
    <row r="32" spans="2:31" x14ac:dyDescent="0.25">
      <c r="B32" s="348"/>
      <c r="C32" s="497">
        <v>0.98399999999999999</v>
      </c>
      <c r="D32" s="498"/>
      <c r="E32" s="498"/>
      <c r="F32" s="499"/>
      <c r="G32" s="343"/>
      <c r="H32" s="497">
        <v>1</v>
      </c>
      <c r="I32" s="498"/>
      <c r="J32" s="498"/>
      <c r="K32" s="499"/>
      <c r="L32" s="349"/>
      <c r="N32" s="364"/>
      <c r="O32" s="501" t="s">
        <v>1090</v>
      </c>
      <c r="P32" s="502"/>
      <c r="Q32" s="502"/>
      <c r="R32" s="503"/>
      <c r="S32" s="365"/>
      <c r="T32" s="360"/>
      <c r="U32" s="360"/>
      <c r="V32" s="507"/>
      <c r="W32" s="508"/>
      <c r="X32" s="508"/>
      <c r="Y32" s="508"/>
      <c r="Z32" s="508"/>
      <c r="AA32" s="508"/>
      <c r="AB32" s="508"/>
      <c r="AC32" s="508"/>
      <c r="AD32" s="508"/>
      <c r="AE32" s="509"/>
    </row>
    <row r="33" spans="2:31" ht="15.75" thickBot="1" x14ac:dyDescent="0.3">
      <c r="B33" s="348"/>
      <c r="C33" s="357"/>
      <c r="D33" s="357"/>
      <c r="E33" s="357"/>
      <c r="F33" s="357"/>
      <c r="G33" s="357"/>
      <c r="H33" s="357"/>
      <c r="I33" s="357"/>
      <c r="J33" s="357"/>
      <c r="K33" s="357"/>
      <c r="L33" s="349"/>
      <c r="N33" s="364"/>
      <c r="O33" s="360"/>
      <c r="P33" s="360"/>
      <c r="Q33" s="360"/>
      <c r="R33" s="360"/>
      <c r="S33" s="365"/>
      <c r="T33" s="360"/>
      <c r="U33" s="360"/>
      <c r="V33" s="510"/>
      <c r="W33" s="511"/>
      <c r="X33" s="511"/>
      <c r="Y33" s="511"/>
      <c r="Z33" s="511"/>
      <c r="AA33" s="511"/>
      <c r="AB33" s="511"/>
      <c r="AC33" s="511"/>
      <c r="AD33" s="511"/>
      <c r="AE33" s="512"/>
    </row>
    <row r="34" spans="2:31" x14ac:dyDescent="0.25">
      <c r="B34" s="348"/>
      <c r="C34" s="492" t="s">
        <v>1403</v>
      </c>
      <c r="D34" s="492"/>
      <c r="E34" s="492"/>
      <c r="F34" s="492"/>
      <c r="G34" s="357"/>
      <c r="H34" s="474" t="s">
        <v>1022</v>
      </c>
      <c r="I34" s="500"/>
      <c r="J34" s="500"/>
      <c r="K34" s="500"/>
      <c r="L34" s="349"/>
      <c r="N34" s="364"/>
      <c r="O34" s="358"/>
      <c r="P34" s="358"/>
      <c r="Q34" s="358"/>
      <c r="R34" s="358"/>
      <c r="S34" s="366"/>
      <c r="T34" s="358"/>
      <c r="U34" s="358"/>
      <c r="V34" s="359"/>
      <c r="W34" s="359"/>
      <c r="X34" s="359"/>
      <c r="Y34" s="359"/>
      <c r="Z34" s="359"/>
      <c r="AA34" s="359"/>
      <c r="AB34" s="359"/>
      <c r="AC34" s="359"/>
      <c r="AD34" s="359"/>
      <c r="AE34" s="359"/>
    </row>
    <row r="35" spans="2:31" x14ac:dyDescent="0.25">
      <c r="B35" s="348"/>
      <c r="C35" s="497">
        <v>1</v>
      </c>
      <c r="D35" s="498"/>
      <c r="E35" s="498"/>
      <c r="F35" s="499"/>
      <c r="G35" s="357"/>
      <c r="H35" s="470">
        <v>1.1000000000000001</v>
      </c>
      <c r="I35" s="471"/>
      <c r="J35" s="471"/>
      <c r="K35" s="472"/>
      <c r="L35" s="349"/>
      <c r="N35" s="364"/>
      <c r="O35" s="358"/>
      <c r="P35" s="358"/>
      <c r="Q35" s="358"/>
      <c r="R35" s="358"/>
      <c r="S35" s="366"/>
      <c r="V35" s="360"/>
      <c r="W35" s="360"/>
      <c r="X35" s="360"/>
      <c r="Y35" s="360"/>
      <c r="Z35" s="360"/>
      <c r="AA35" s="360"/>
      <c r="AB35" s="360"/>
      <c r="AC35" s="360"/>
      <c r="AD35" s="360"/>
      <c r="AE35" s="360"/>
    </row>
    <row r="36" spans="2:31" ht="15.75" thickBot="1" x14ac:dyDescent="0.3">
      <c r="B36" s="350"/>
      <c r="C36" s="351"/>
      <c r="D36" s="351"/>
      <c r="E36" s="351"/>
      <c r="F36" s="351"/>
      <c r="G36" s="351"/>
      <c r="H36" s="351"/>
      <c r="I36" s="351"/>
      <c r="J36" s="351"/>
      <c r="K36" s="351"/>
      <c r="L36" s="352"/>
      <c r="N36" s="367"/>
      <c r="O36" s="368"/>
      <c r="P36" s="368"/>
      <c r="Q36" s="368"/>
      <c r="R36" s="368"/>
      <c r="S36" s="369"/>
      <c r="V36" s="221"/>
    </row>
  </sheetData>
  <sheetProtection password="CB17" sheet="1"/>
  <mergeCells count="90">
    <mergeCell ref="AA28:AD28"/>
    <mergeCell ref="AA26:AD26"/>
    <mergeCell ref="V28:Y28"/>
    <mergeCell ref="V29:AE33"/>
    <mergeCell ref="C28:F28"/>
    <mergeCell ref="C34:F34"/>
    <mergeCell ref="C35:F35"/>
    <mergeCell ref="H34:K34"/>
    <mergeCell ref="H35:K35"/>
    <mergeCell ref="V26:Y26"/>
    <mergeCell ref="C32:F32"/>
    <mergeCell ref="H28:K28"/>
    <mergeCell ref="H32:K32"/>
    <mergeCell ref="O28:R28"/>
    <mergeCell ref="C31:F31"/>
    <mergeCell ref="H31:K31"/>
    <mergeCell ref="O31:R31"/>
    <mergeCell ref="O32:R32"/>
    <mergeCell ref="AA23:AD23"/>
    <mergeCell ref="C25:F25"/>
    <mergeCell ref="C26:F26"/>
    <mergeCell ref="H25:K25"/>
    <mergeCell ref="H26:K26"/>
    <mergeCell ref="O25:R25"/>
    <mergeCell ref="O26:R26"/>
    <mergeCell ref="C23:F23"/>
    <mergeCell ref="V25:Y25"/>
    <mergeCell ref="AA25:AD25"/>
    <mergeCell ref="V23:Y23"/>
    <mergeCell ref="H23:K23"/>
    <mergeCell ref="O23:R23"/>
    <mergeCell ref="H22:K22"/>
    <mergeCell ref="O22:R22"/>
    <mergeCell ref="C13:F13"/>
    <mergeCell ref="H13:K13"/>
    <mergeCell ref="O13:R13"/>
    <mergeCell ref="C22:F22"/>
    <mergeCell ref="C16:F16"/>
    <mergeCell ref="H16:K16"/>
    <mergeCell ref="O16:R16"/>
    <mergeCell ref="C19:F19"/>
    <mergeCell ref="H19:K19"/>
    <mergeCell ref="O19:R19"/>
    <mergeCell ref="C17:F17"/>
    <mergeCell ref="H17:K17"/>
    <mergeCell ref="O17:R17"/>
    <mergeCell ref="H11:K11"/>
    <mergeCell ref="L2:N12"/>
    <mergeCell ref="V7:Y7"/>
    <mergeCell ref="O4:R4"/>
    <mergeCell ref="C10:F10"/>
    <mergeCell ref="C11:F11"/>
    <mergeCell ref="H10:K10"/>
    <mergeCell ref="H8:K8"/>
    <mergeCell ref="O7:R7"/>
    <mergeCell ref="V8:Y8"/>
    <mergeCell ref="O10:R10"/>
    <mergeCell ref="O11:R11"/>
    <mergeCell ref="G2:G12"/>
    <mergeCell ref="C4:F4"/>
    <mergeCell ref="AA4:AD4"/>
    <mergeCell ref="AA5:AD5"/>
    <mergeCell ref="C7:F7"/>
    <mergeCell ref="C8:F8"/>
    <mergeCell ref="H7:K7"/>
    <mergeCell ref="O5:R5"/>
    <mergeCell ref="V4:Y4"/>
    <mergeCell ref="V5:Y5"/>
    <mergeCell ref="O8:R8"/>
    <mergeCell ref="Z2:Z12"/>
    <mergeCell ref="C5:F5"/>
    <mergeCell ref="H4:K4"/>
    <mergeCell ref="H5:K5"/>
    <mergeCell ref="V10:Y10"/>
    <mergeCell ref="V11:Y11"/>
    <mergeCell ref="S2:U12"/>
    <mergeCell ref="AA17:AD17"/>
    <mergeCell ref="AA22:AD22"/>
    <mergeCell ref="V19:Y19"/>
    <mergeCell ref="AA13:AD13"/>
    <mergeCell ref="AA7:AD7"/>
    <mergeCell ref="AA8:AD8"/>
    <mergeCell ref="AA19:AD19"/>
    <mergeCell ref="V16:Y16"/>
    <mergeCell ref="AA16:AD16"/>
    <mergeCell ref="AA11:AD11"/>
    <mergeCell ref="V22:Y22"/>
    <mergeCell ref="AA10:AD10"/>
    <mergeCell ref="V13:Y13"/>
    <mergeCell ref="V17:Y17"/>
  </mergeCells>
  <dataValidations count="15">
    <dataValidation type="list" showInputMessage="1" showErrorMessage="1" sqref="V11:Y11 C11:F11" xr:uid="{00000000-0002-0000-0100-000000000000}">
      <formula1>QRange</formula1>
    </dataValidation>
    <dataValidation type="list" showInputMessage="1" showErrorMessage="1" sqref="C23:F23" xr:uid="{00000000-0002-0000-0100-000001000000}">
      <formula1>Yrange</formula1>
    </dataValidation>
    <dataValidation type="whole" allowBlank="1" showInputMessage="1" showErrorMessage="1" sqref="H23:K23 O23:R23 V23:Y23" xr:uid="{00000000-0002-0000-0100-000002000000}">
      <formula1>100000</formula1>
      <formula2>10000000</formula2>
    </dataValidation>
    <dataValidation type="whole" allowBlank="1" showInputMessage="1" showErrorMessage="1" sqref="AA23:AD23" xr:uid="{00000000-0002-0000-0100-000003000000}">
      <formula1>1</formula1>
      <formula2>100</formula2>
    </dataValidation>
    <dataValidation type="whole" allowBlank="1" showInputMessage="1" showErrorMessage="1" sqref="AA26:AD26" xr:uid="{00000000-0002-0000-0100-000004000000}">
      <formula1>50</formula1>
      <formula2>150</formula2>
    </dataValidation>
    <dataValidation type="decimal" allowBlank="1" showInputMessage="1" showErrorMessage="1" sqref="H26:K26" xr:uid="{00000000-0002-0000-0100-000005000000}">
      <formula1>0</formula1>
      <formula2>1</formula2>
    </dataValidation>
    <dataValidation type="decimal" allowBlank="1" showInputMessage="1" showErrorMessage="1" error="Please enter a value between 0 and 5." sqref="O26:R26" xr:uid="{00000000-0002-0000-0100-000006000000}">
      <formula1>0</formula1>
      <formula2>5</formula2>
    </dataValidation>
    <dataValidation type="whole" allowBlank="1" showInputMessage="1" showErrorMessage="1" error="Please enter a whole number berween 0 and 50." sqref="V26:Y26" xr:uid="{00000000-0002-0000-0100-000007000000}">
      <formula1>0</formula1>
      <formula2>50</formula2>
    </dataValidation>
    <dataValidation type="decimal" allowBlank="1" showInputMessage="1" showErrorMessage="1" sqref="C8:F8" xr:uid="{00000000-0002-0000-0100-000008000000}">
      <formula1>0</formula1>
      <formula2>100000</formula2>
    </dataValidation>
    <dataValidation type="list" showInputMessage="1" showErrorMessage="1" sqref="V17:Y17" xr:uid="{00000000-0002-0000-0100-000009000000}">
      <formula1>Mrange</formula1>
    </dataValidation>
    <dataValidation type="list" showInputMessage="1" showErrorMessage="1" sqref="O17:R17" xr:uid="{00000000-0002-0000-0100-00000A000000}">
      <formula1>QRange</formula1>
    </dataValidation>
    <dataValidation type="decimal" allowBlank="1" showInputMessage="1" showErrorMessage="1" sqref="C5:F5" xr:uid="{00000000-0002-0000-0100-00000B000000}">
      <formula1>0</formula1>
      <formula2>1000000</formula2>
    </dataValidation>
    <dataValidation type="decimal" allowBlank="1" showInputMessage="1" showErrorMessage="1" sqref="C26:F26" xr:uid="{00000000-0002-0000-0100-00000C000000}">
      <formula1>1</formula1>
      <formula2>100000000000000</formula2>
    </dataValidation>
    <dataValidation type="list" showInputMessage="1" showErrorMessage="1" sqref="AA17:AD17" xr:uid="{00000000-0002-0000-0100-00000D000000}">
      <formula1>Grange</formula1>
    </dataValidation>
    <dataValidation type="list" showInputMessage="1" showErrorMessage="1" sqref="O32:R32" xr:uid="{00000000-0002-0000-0100-00000E000000}">
      <formula1>Irange</formula1>
    </dataValidation>
  </dataValidations>
  <pageMargins left="0.7" right="0.7" top="0.75" bottom="0.75" header="0.3" footer="0.3"/>
  <pageSetup scale="75"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B050"/>
    <pageSetUpPr fitToPage="1"/>
  </sheetPr>
  <dimension ref="B2:AJ58"/>
  <sheetViews>
    <sheetView showGridLines="0" showRowColHeaders="0" topLeftCell="A16" zoomScale="85" zoomScaleNormal="85" workbookViewId="0">
      <selection activeCell="I47" sqref="I47"/>
    </sheetView>
  </sheetViews>
  <sheetFormatPr defaultRowHeight="15" x14ac:dyDescent="0.25"/>
  <cols>
    <col min="1" max="1" width="4.28515625" customWidth="1"/>
    <col min="2" max="2" width="7.140625" customWidth="1"/>
    <col min="3" max="3" width="5.5703125" customWidth="1"/>
    <col min="13" max="13" width="9.140625" customWidth="1"/>
    <col min="17" max="17" width="4.5703125" customWidth="1"/>
    <col min="18" max="18" width="9.140625" customWidth="1"/>
    <col min="19" max="19" width="4.7109375" customWidth="1"/>
    <col min="20" max="20" width="3.5703125" hidden="1" customWidth="1"/>
    <col min="21" max="21" width="12" hidden="1" customWidth="1"/>
    <col min="22" max="22" width="11.28515625" hidden="1" customWidth="1"/>
    <col min="23" max="23" width="8.28515625" hidden="1" customWidth="1"/>
    <col min="28" max="28" width="22.85546875" hidden="1" customWidth="1"/>
    <col min="29" max="29" width="12" hidden="1" customWidth="1"/>
    <col min="30" max="30" width="23.5703125" hidden="1" customWidth="1"/>
    <col min="31" max="31" width="12" hidden="1" customWidth="1"/>
    <col min="32" max="32" width="0" hidden="1" customWidth="1"/>
    <col min="33" max="33" width="18.5703125" hidden="1" customWidth="1"/>
  </cols>
  <sheetData>
    <row r="2" spans="2:36" x14ac:dyDescent="0.25">
      <c r="B2" s="515" t="str">
        <f>IF(Brewhouse!V17="Metric", "Batch Size (liters into fermenter)", "Batch Size (gallons into fermenter)")</f>
        <v>Batch Size (gallons into fermenter)</v>
      </c>
      <c r="C2" s="516"/>
      <c r="D2" s="516"/>
      <c r="E2" s="516"/>
      <c r="F2" s="517"/>
      <c r="H2" s="515" t="str">
        <f>IF(Brewhouse!V17="Metric", "Mash Temperature (degrees C)", "Mash Temperature (degrees F)")</f>
        <v>Mash Temperature (degrees F)</v>
      </c>
      <c r="I2" s="516"/>
      <c r="J2" s="516"/>
      <c r="K2" s="517"/>
      <c r="M2" s="515" t="s">
        <v>0</v>
      </c>
      <c r="N2" s="516"/>
      <c r="O2" s="516"/>
      <c r="P2" s="517"/>
      <c r="X2" s="515" t="s">
        <v>841</v>
      </c>
      <c r="Y2" s="516"/>
      <c r="Z2" s="516"/>
      <c r="AA2" s="517"/>
    </row>
    <row r="3" spans="2:36" x14ac:dyDescent="0.25">
      <c r="B3" s="464">
        <v>4.9000000000000004</v>
      </c>
      <c r="C3" s="465"/>
      <c r="D3" s="465"/>
      <c r="E3" s="465"/>
      <c r="F3" s="466"/>
      <c r="H3" s="464">
        <v>154</v>
      </c>
      <c r="I3" s="465"/>
      <c r="J3" s="465"/>
      <c r="K3" s="466"/>
      <c r="M3" s="464">
        <v>60</v>
      </c>
      <c r="N3" s="465"/>
      <c r="O3" s="465"/>
      <c r="P3" s="466"/>
      <c r="X3" s="464" t="s">
        <v>1452</v>
      </c>
      <c r="Y3" s="465"/>
      <c r="Z3" s="465"/>
      <c r="AA3" s="466"/>
      <c r="AI3" t="s">
        <v>1453</v>
      </c>
    </row>
    <row r="5" spans="2:36" x14ac:dyDescent="0.25">
      <c r="B5" s="515" t="s">
        <v>1</v>
      </c>
      <c r="C5" s="516"/>
      <c r="D5" s="516"/>
      <c r="E5" s="516"/>
      <c r="F5" s="517"/>
      <c r="H5" s="515" t="str">
        <f>IF(Brewhouse!V17="Metric", "Strike Water to Grain Ratio (liters per kg)", "Strike Water to Grain Ratio (qts per lb)")</f>
        <v>Strike Water to Grain Ratio (qts per lb)</v>
      </c>
      <c r="I5" s="516"/>
      <c r="J5" s="516"/>
      <c r="K5" s="517"/>
      <c r="M5" s="515" t="str">
        <f>IF(Brewhouse!V17="Metric", "Ambient Grain and Tun Temp (degrees C)", "Ambient Grain and Tun Temp (degrees F)")</f>
        <v>Ambient Grain and Tun Temp (degrees F)</v>
      </c>
      <c r="N5" s="516"/>
      <c r="O5" s="516"/>
      <c r="P5" s="517"/>
    </row>
    <row r="6" spans="2:36" x14ac:dyDescent="0.25">
      <c r="B6" s="571">
        <v>0.7</v>
      </c>
      <c r="C6" s="572"/>
      <c r="D6" s="572"/>
      <c r="E6" s="572"/>
      <c r="F6" s="573"/>
      <c r="H6" s="464">
        <v>1.25</v>
      </c>
      <c r="I6" s="465"/>
      <c r="J6" s="465"/>
      <c r="K6" s="466"/>
      <c r="M6" s="464">
        <v>68</v>
      </c>
      <c r="N6" s="465"/>
      <c r="O6" s="465"/>
      <c r="P6" s="466"/>
    </row>
    <row r="8" spans="2:36" x14ac:dyDescent="0.25">
      <c r="B8" s="515" t="s">
        <v>134</v>
      </c>
      <c r="C8" s="516"/>
      <c r="D8" s="516"/>
      <c r="E8" s="516"/>
      <c r="F8" s="517"/>
      <c r="H8" s="515" t="s">
        <v>304</v>
      </c>
      <c r="I8" s="516"/>
      <c r="J8" s="516"/>
      <c r="K8" s="517"/>
      <c r="M8" s="515" t="s">
        <v>236</v>
      </c>
      <c r="N8" s="516"/>
      <c r="O8" s="516"/>
      <c r="P8" s="517"/>
    </row>
    <row r="9" spans="2:36" x14ac:dyDescent="0.25">
      <c r="B9" s="580">
        <v>60</v>
      </c>
      <c r="C9" s="581"/>
      <c r="D9" s="581"/>
      <c r="E9" s="581"/>
      <c r="F9" s="582"/>
      <c r="H9" s="577" t="s">
        <v>1148</v>
      </c>
      <c r="I9" s="578"/>
      <c r="J9" s="578"/>
      <c r="K9" s="579"/>
      <c r="M9" s="574">
        <v>43202</v>
      </c>
      <c r="N9" s="575"/>
      <c r="O9" s="575"/>
      <c r="P9" s="576"/>
      <c r="W9" t="str">
        <f>Brewhouse!AA17</f>
        <v>Specific Gravity</v>
      </c>
    </row>
    <row r="11" spans="2:36" x14ac:dyDescent="0.25">
      <c r="B11" s="515" t="s">
        <v>51</v>
      </c>
      <c r="C11" s="516"/>
      <c r="D11" s="516"/>
      <c r="E11" s="516"/>
      <c r="F11" s="516"/>
      <c r="G11" s="516"/>
      <c r="H11" s="517"/>
      <c r="J11" s="515" t="s">
        <v>266</v>
      </c>
      <c r="K11" s="516"/>
      <c r="L11" s="516"/>
      <c r="M11" s="516"/>
      <c r="N11" s="516"/>
      <c r="O11" s="516"/>
      <c r="P11" s="516"/>
      <c r="Q11" s="516"/>
      <c r="R11" s="517"/>
      <c r="T11" s="66"/>
      <c r="U11" s="66"/>
      <c r="V11" s="66"/>
      <c r="W11" s="335"/>
      <c r="X11" s="515" t="s">
        <v>700</v>
      </c>
      <c r="Y11" s="516"/>
      <c r="Z11" s="516"/>
      <c r="AA11" s="517"/>
      <c r="AB11" s="99" t="s">
        <v>1064</v>
      </c>
      <c r="AE11" s="395"/>
      <c r="AF11" s="554" t="s">
        <v>1068</v>
      </c>
      <c r="AG11" s="539" t="s">
        <v>1076</v>
      </c>
    </row>
    <row r="12" spans="2:36" x14ac:dyDescent="0.25">
      <c r="B12" s="33" t="str">
        <f>IF(Brewhouse!V17="Metric", "kg", "Lbs.")</f>
        <v>Lbs.</v>
      </c>
      <c r="C12" s="246" t="s">
        <v>649</v>
      </c>
      <c r="D12" s="515" t="s">
        <v>52</v>
      </c>
      <c r="E12" s="516"/>
      <c r="F12" s="516"/>
      <c r="G12" s="517"/>
      <c r="H12" s="33" t="str">
        <f>IF(Brewhouse!V17="Metric", "", "PPG")</f>
        <v>PPG</v>
      </c>
      <c r="J12" s="544" t="s">
        <v>4</v>
      </c>
      <c r="K12" s="544"/>
      <c r="L12" s="33" t="s">
        <v>151</v>
      </c>
      <c r="M12" s="33" t="str">
        <f>IF(Brewhouse!V17="Metric", "Grams", "Ounces")</f>
        <v>Ounces</v>
      </c>
      <c r="N12" s="34" t="s">
        <v>144</v>
      </c>
      <c r="O12" s="35" t="s">
        <v>145</v>
      </c>
      <c r="P12" s="565" t="s">
        <v>152</v>
      </c>
      <c r="Q12" s="565"/>
      <c r="R12" s="33" t="s">
        <v>143</v>
      </c>
      <c r="T12" s="66"/>
      <c r="U12" s="66" t="s">
        <v>363</v>
      </c>
      <c r="V12" s="66"/>
      <c r="W12" s="66" t="s">
        <v>366</v>
      </c>
      <c r="X12" s="515" t="s">
        <v>52</v>
      </c>
      <c r="Y12" s="517"/>
      <c r="Z12" s="253" t="s">
        <v>380</v>
      </c>
      <c r="AA12" s="253" t="s">
        <v>144</v>
      </c>
      <c r="AB12" t="s">
        <v>1053</v>
      </c>
      <c r="AC12">
        <f>SUM(HopCalc!L4:L18)</f>
        <v>2.5</v>
      </c>
      <c r="AD12" t="s">
        <v>1072</v>
      </c>
      <c r="AE12" s="395">
        <f>AC22+AC27</f>
        <v>4.95</v>
      </c>
      <c r="AF12" s="554"/>
      <c r="AG12" s="539"/>
    </row>
    <row r="13" spans="2:36" x14ac:dyDescent="0.25">
      <c r="B13" s="414">
        <v>10</v>
      </c>
      <c r="C13" s="248">
        <f>(B13/SUM(B13:B26))</f>
        <v>0.79746088454361308</v>
      </c>
      <c r="D13" s="566" t="s">
        <v>698</v>
      </c>
      <c r="E13" s="567"/>
      <c r="F13" s="567"/>
      <c r="G13" s="568"/>
      <c r="H13" s="31">
        <f>IF(Brewhouse!V17="Metric", "", IF(D13&lt;&gt;"",VLOOKUP(D13,GRAINLOOKUP!$A$2:$B$200,2,0),0))</f>
        <v>37</v>
      </c>
      <c r="J13" s="545" t="s">
        <v>1348</v>
      </c>
      <c r="K13" s="545"/>
      <c r="L13" s="371" t="s">
        <v>1024</v>
      </c>
      <c r="M13" s="374">
        <v>0.5</v>
      </c>
      <c r="N13" s="432">
        <v>60</v>
      </c>
      <c r="O13" s="31">
        <v>11</v>
      </c>
      <c r="P13" s="570">
        <f>11.9*0.8</f>
        <v>9.5200000000000014</v>
      </c>
      <c r="Q13" s="570"/>
      <c r="R13" s="44">
        <f xml:space="preserve"> IF(Brewhouse!$O$32="Rager", HopCalc!Z4, HopCalc!S4)</f>
        <v>16.857125273678154</v>
      </c>
      <c r="T13" s="66"/>
      <c r="U13" s="66">
        <f t="shared" ref="U13:U27" si="0">B13</f>
        <v>10</v>
      </c>
      <c r="V13" s="66"/>
      <c r="W13" s="66">
        <f t="shared" ref="W13:W27" si="1">U13*$V$29</f>
        <v>-156.87172646653408</v>
      </c>
      <c r="X13" s="555"/>
      <c r="Y13" s="555"/>
      <c r="Z13" s="371"/>
      <c r="AA13" s="371"/>
      <c r="AB13" t="s">
        <v>1054</v>
      </c>
      <c r="AC13">
        <f>HopCalc!$C$6+'Total H2O Sub'!$D$12+'Total H2O Sub'!$D$15+'Total H2O Sub'!$D$16</f>
        <v>5.0125000000000002</v>
      </c>
      <c r="AD13" t="s">
        <v>1073</v>
      </c>
      <c r="AE13" s="395">
        <f>AC26/AC22</f>
        <v>0</v>
      </c>
      <c r="AF13">
        <f t="shared" ref="AF13:AF27" si="2">M13</f>
        <v>0.5</v>
      </c>
      <c r="AG13">
        <f t="shared" ref="AG13:AG27" si="3">$AE$27*AF13</f>
        <v>0</v>
      </c>
      <c r="AI13" s="460">
        <v>12</v>
      </c>
      <c r="AJ13">
        <f>0.83*AI13</f>
        <v>9.9599999999999991</v>
      </c>
    </row>
    <row r="14" spans="2:36" x14ac:dyDescent="0.25">
      <c r="B14" s="372">
        <v>1.66</v>
      </c>
      <c r="C14" s="249">
        <f>B14/SUM(B13:B26)</f>
        <v>0.13237850683423977</v>
      </c>
      <c r="D14" s="522" t="s">
        <v>107</v>
      </c>
      <c r="E14" s="563"/>
      <c r="F14" s="563"/>
      <c r="G14" s="523"/>
      <c r="H14" s="31">
        <f>IF(Brewhouse!V17="Metric", "", IF(D14&lt;&gt;"",VLOOKUP(D14,GRAINLOOKUP!$A$2:$B$200,2,0),0))</f>
        <v>35</v>
      </c>
      <c r="J14" s="545" t="s">
        <v>10</v>
      </c>
      <c r="K14" s="545"/>
      <c r="L14" s="372" t="s">
        <v>1024</v>
      </c>
      <c r="M14" s="449">
        <v>1</v>
      </c>
      <c r="N14" s="372">
        <v>15</v>
      </c>
      <c r="O14" s="31">
        <f>VLOOKUP(J14,HOPLOOKUP!$A$2:$B$100,2,0)</f>
        <v>8.9</v>
      </c>
      <c r="P14" s="570">
        <f>9.6*0.9</f>
        <v>8.64</v>
      </c>
      <c r="Q14" s="570"/>
      <c r="R14" s="44">
        <f xml:space="preserve"> IF(Brewhouse!$O$32="Rager", HopCalc!Z5, HopCalc!S5)</f>
        <v>15.182719848473845</v>
      </c>
      <c r="T14" s="66"/>
      <c r="U14" s="66">
        <f t="shared" si="0"/>
        <v>1.66</v>
      </c>
      <c r="V14" s="66"/>
      <c r="W14" s="66">
        <f t="shared" si="1"/>
        <v>-26.040706593444657</v>
      </c>
      <c r="X14" s="553"/>
      <c r="Y14" s="553"/>
      <c r="Z14" s="372"/>
      <c r="AA14" s="372"/>
      <c r="AB14" t="s">
        <v>1055</v>
      </c>
      <c r="AC14" s="306">
        <f>R28</f>
        <v>42.311974321564179</v>
      </c>
      <c r="AD14" t="s">
        <v>1074</v>
      </c>
      <c r="AE14" s="395">
        <f>AE13*AC27</f>
        <v>0</v>
      </c>
      <c r="AF14">
        <f t="shared" si="2"/>
        <v>1</v>
      </c>
      <c r="AG14">
        <f t="shared" si="3"/>
        <v>0</v>
      </c>
      <c r="AI14" s="459">
        <v>2</v>
      </c>
      <c r="AJ14">
        <f>0.83*AI14</f>
        <v>1.66</v>
      </c>
    </row>
    <row r="15" spans="2:36" x14ac:dyDescent="0.25">
      <c r="B15" s="372">
        <v>0.62249999999999994</v>
      </c>
      <c r="C15" s="249">
        <f>B15/SUM(B13:B26)</f>
        <v>4.9641940062839909E-2</v>
      </c>
      <c r="D15" s="522" t="s">
        <v>1095</v>
      </c>
      <c r="E15" s="563"/>
      <c r="F15" s="563"/>
      <c r="G15" s="523"/>
      <c r="H15" s="31">
        <f>IF(Brewhouse!V17="Metric", "", IF(D15&lt;&gt;"",VLOOKUP(D15,GRAINLOOKUP!$A$2:$B$200,2,0),0))</f>
        <v>34</v>
      </c>
      <c r="J15" s="545" t="s">
        <v>9</v>
      </c>
      <c r="K15" s="545"/>
      <c r="L15" s="372" t="s">
        <v>1024</v>
      </c>
      <c r="M15" s="459">
        <v>1</v>
      </c>
      <c r="N15" s="459">
        <v>10</v>
      </c>
      <c r="O15" s="31">
        <f>VLOOKUP(J15,HOPLOOKUP!$A$2:$B$100,2,0)</f>
        <v>7.2</v>
      </c>
      <c r="P15" s="548">
        <v>8</v>
      </c>
      <c r="Q15" s="549"/>
      <c r="R15" s="44">
        <f xml:space="preserve"> IF(Brewhouse!$O$32="Rager", HopCalc!Z6, HopCalc!S6)</f>
        <v>10.272129199412177</v>
      </c>
      <c r="T15" s="66"/>
      <c r="U15" s="66">
        <f t="shared" si="0"/>
        <v>0.62249999999999994</v>
      </c>
      <c r="V15" s="66"/>
      <c r="W15" s="66">
        <f t="shared" si="1"/>
        <v>-9.7652649725417451</v>
      </c>
      <c r="X15" s="553"/>
      <c r="Y15" s="553"/>
      <c r="Z15" s="372"/>
      <c r="AA15" s="372"/>
      <c r="AB15" t="s">
        <v>1056</v>
      </c>
      <c r="AC15" s="96">
        <f>M28</f>
        <v>0</v>
      </c>
      <c r="AD15" t="s">
        <v>1075</v>
      </c>
      <c r="AE15" s="395">
        <f>AC26+AE14</f>
        <v>0</v>
      </c>
      <c r="AF15">
        <f t="shared" si="2"/>
        <v>1</v>
      </c>
      <c r="AG15">
        <f t="shared" si="3"/>
        <v>0</v>
      </c>
      <c r="AI15" s="459">
        <v>0.75</v>
      </c>
      <c r="AJ15">
        <f>0.83*AI15</f>
        <v>0.62249999999999994</v>
      </c>
    </row>
    <row r="16" spans="2:36" x14ac:dyDescent="0.25">
      <c r="B16" s="447">
        <v>0.25729999999999997</v>
      </c>
      <c r="C16" s="249">
        <f>B16/SUM(B13:B26)</f>
        <v>2.051866855930716E-2</v>
      </c>
      <c r="D16" s="522" t="s">
        <v>171</v>
      </c>
      <c r="E16" s="563"/>
      <c r="F16" s="563"/>
      <c r="G16" s="523"/>
      <c r="H16" s="31">
        <f>IF(Brewhouse!V17="Metric", "", IF(D16&lt;&gt;"",VLOOKUP(D16,GRAINLOOKUP!$A$2:$B$200,2,0),0))</f>
        <v>28</v>
      </c>
      <c r="J16" s="546" t="s">
        <v>150</v>
      </c>
      <c r="K16" s="547"/>
      <c r="L16" s="461"/>
      <c r="M16" s="459">
        <v>0</v>
      </c>
      <c r="N16" s="459"/>
      <c r="O16" s="31">
        <f>VLOOKUP(J16,HOPLOOKUP!$A$2:$B$100,2,0)</f>
        <v>0</v>
      </c>
      <c r="P16" s="548"/>
      <c r="Q16" s="549"/>
      <c r="R16" s="44">
        <f xml:space="preserve"> IF(Brewhouse!$O$32="Rager", HopCalc!Z7, HopCalc!S7)</f>
        <v>0</v>
      </c>
      <c r="T16" s="66"/>
      <c r="U16" s="66">
        <f t="shared" si="0"/>
        <v>0.25729999999999997</v>
      </c>
      <c r="V16" s="66"/>
      <c r="W16" s="66">
        <f t="shared" si="1"/>
        <v>-4.036309521983922</v>
      </c>
      <c r="X16" s="553"/>
      <c r="Y16" s="553"/>
      <c r="Z16" s="372"/>
      <c r="AA16" s="372"/>
      <c r="AB16" s="397" t="s">
        <v>1057</v>
      </c>
      <c r="AC16" s="396">
        <f>AC12/AC13</f>
        <v>0.49875311720698251</v>
      </c>
      <c r="AD16" t="s">
        <v>1077</v>
      </c>
      <c r="AE16" s="395">
        <f>AE14*AC18</f>
        <v>0</v>
      </c>
      <c r="AF16">
        <f t="shared" si="2"/>
        <v>0</v>
      </c>
      <c r="AG16">
        <f t="shared" si="3"/>
        <v>0</v>
      </c>
      <c r="AI16" s="459">
        <v>0.31</v>
      </c>
      <c r="AJ16">
        <f>0.83*AI16</f>
        <v>0.25729999999999997</v>
      </c>
    </row>
    <row r="17" spans="2:33" x14ac:dyDescent="0.25">
      <c r="B17" s="447">
        <v>0</v>
      </c>
      <c r="C17" s="249">
        <f>B17/SUM(B13:B26)</f>
        <v>0</v>
      </c>
      <c r="D17" s="522" t="s">
        <v>64</v>
      </c>
      <c r="E17" s="563"/>
      <c r="F17" s="563"/>
      <c r="G17" s="523"/>
      <c r="H17" s="31">
        <f>IF(Brewhouse!V17="Metric", "", IF(D17&lt;&gt;"",VLOOKUP(D17,GRAINLOOKUP!$A$2:$B$200,2,0),0))</f>
        <v>0</v>
      </c>
      <c r="J17" s="526" t="s">
        <v>150</v>
      </c>
      <c r="K17" s="526"/>
      <c r="L17" s="450"/>
      <c r="M17" s="448">
        <v>0</v>
      </c>
      <c r="N17" s="435"/>
      <c r="O17" s="31">
        <f>VLOOKUP(J17,HOPLOOKUP!$A$2:$B$100,2,0)</f>
        <v>0</v>
      </c>
      <c r="P17" s="548"/>
      <c r="Q17" s="549"/>
      <c r="R17" s="44">
        <f xml:space="preserve"> IF(Brewhouse!$O$32="Rager", HopCalc!Z8, HopCalc!S8)</f>
        <v>0</v>
      </c>
      <c r="T17" s="66"/>
      <c r="U17" s="66">
        <f t="shared" si="0"/>
        <v>0</v>
      </c>
      <c r="V17" s="66"/>
      <c r="W17" s="66">
        <f t="shared" si="1"/>
        <v>0</v>
      </c>
      <c r="X17" s="553"/>
      <c r="Y17" s="553"/>
      <c r="Z17" s="372"/>
      <c r="AA17" s="372"/>
      <c r="AB17" t="s">
        <v>1058</v>
      </c>
      <c r="AC17">
        <f>IF(AC14=0, 0, AC15/AC14)</f>
        <v>0</v>
      </c>
      <c r="AD17" t="s">
        <v>1078</v>
      </c>
      <c r="AE17" s="395">
        <f>AE12+AE16</f>
        <v>4.95</v>
      </c>
      <c r="AF17">
        <f t="shared" si="2"/>
        <v>0</v>
      </c>
      <c r="AG17">
        <f t="shared" si="3"/>
        <v>0</v>
      </c>
    </row>
    <row r="18" spans="2:33" x14ac:dyDescent="0.25">
      <c r="B18" s="372">
        <v>0</v>
      </c>
      <c r="C18" s="249">
        <f>B18/SUM(B13:B26)</f>
        <v>0</v>
      </c>
      <c r="D18" s="522" t="s">
        <v>64</v>
      </c>
      <c r="E18" s="563"/>
      <c r="F18" s="563"/>
      <c r="G18" s="523"/>
      <c r="H18" s="31">
        <f>IF(Brewhouse!V17="Metric", "", IF(D18&lt;&gt;"",VLOOKUP(D18,GRAINLOOKUP!$A$2:$B$200,2,0),0))</f>
        <v>0</v>
      </c>
      <c r="J18" s="526" t="s">
        <v>150</v>
      </c>
      <c r="K18" s="526"/>
      <c r="L18" s="431"/>
      <c r="M18" s="430">
        <v>0</v>
      </c>
      <c r="N18" s="372"/>
      <c r="O18" s="31">
        <f>VLOOKUP(J18,HOPLOOKUP!$A$2:$B$100,2,0)</f>
        <v>0</v>
      </c>
      <c r="P18" s="548"/>
      <c r="Q18" s="549"/>
      <c r="R18" s="44">
        <f xml:space="preserve"> IF(Brewhouse!$O$32="Rager", HopCalc!Z9, HopCalc!S9)</f>
        <v>0</v>
      </c>
      <c r="T18" s="66"/>
      <c r="U18" s="66">
        <f t="shared" si="0"/>
        <v>0</v>
      </c>
      <c r="V18" s="66"/>
      <c r="W18" s="66">
        <f t="shared" si="1"/>
        <v>0</v>
      </c>
      <c r="X18" s="553"/>
      <c r="Y18" s="553"/>
      <c r="Z18" s="372"/>
      <c r="AA18" s="372"/>
      <c r="AB18" t="s">
        <v>1059</v>
      </c>
      <c r="AC18">
        <f xml:space="preserve"> IF((HopCalc!G19+HopCalc!H19)=0, 0, 'Total H2O Sub'!$J$11/(HopCalc!G19+HopCalc!H19))</f>
        <v>2.5000000000000001E-2</v>
      </c>
      <c r="AD18" t="s">
        <v>1079</v>
      </c>
      <c r="AE18" s="395">
        <f>AE15/AE12</f>
        <v>0</v>
      </c>
      <c r="AF18">
        <f t="shared" si="2"/>
        <v>0</v>
      </c>
      <c r="AG18">
        <f t="shared" si="3"/>
        <v>0</v>
      </c>
    </row>
    <row r="19" spans="2:33" x14ac:dyDescent="0.25">
      <c r="B19" s="372">
        <v>0</v>
      </c>
      <c r="C19" s="249">
        <f>B19/SUM(B13:B26)</f>
        <v>0</v>
      </c>
      <c r="D19" s="522" t="s">
        <v>64</v>
      </c>
      <c r="E19" s="563"/>
      <c r="F19" s="563"/>
      <c r="G19" s="523"/>
      <c r="H19" s="31">
        <f>IF(Brewhouse!V17="Metric", "", IF(D19&lt;&gt;"",VLOOKUP(D19,GRAINLOOKUP!$A$2:$B$200,2,0),0))</f>
        <v>0</v>
      </c>
      <c r="J19" s="526" t="s">
        <v>150</v>
      </c>
      <c r="K19" s="526"/>
      <c r="L19" s="431"/>
      <c r="M19" s="430">
        <v>0</v>
      </c>
      <c r="N19" s="372"/>
      <c r="O19" s="31">
        <f>VLOOKUP(J19,HOPLOOKUP!$A$2:$B$100,2,0)</f>
        <v>0</v>
      </c>
      <c r="P19" s="548"/>
      <c r="Q19" s="549"/>
      <c r="R19" s="44">
        <f xml:space="preserve"> IF(Brewhouse!$O$32="Rager", HopCalc!Z10, HopCalc!S10)</f>
        <v>0</v>
      </c>
      <c r="T19" s="66"/>
      <c r="U19" s="66">
        <f t="shared" si="0"/>
        <v>0</v>
      </c>
      <c r="V19" s="66"/>
      <c r="W19" s="66">
        <f t="shared" si="1"/>
        <v>0</v>
      </c>
      <c r="X19" s="553"/>
      <c r="Y19" s="553"/>
      <c r="Z19" s="372"/>
      <c r="AA19" s="372"/>
      <c r="AB19" t="s">
        <v>1060</v>
      </c>
      <c r="AC19">
        <f>AC17*AC12</f>
        <v>0</v>
      </c>
      <c r="AD19" t="s">
        <v>1080</v>
      </c>
      <c r="AE19" s="395">
        <f>AE18*AE16</f>
        <v>0</v>
      </c>
      <c r="AF19">
        <f t="shared" si="2"/>
        <v>0</v>
      </c>
      <c r="AG19">
        <f t="shared" si="3"/>
        <v>0</v>
      </c>
    </row>
    <row r="20" spans="2:33" x14ac:dyDescent="0.25">
      <c r="B20" s="372">
        <v>0</v>
      </c>
      <c r="C20" s="249">
        <f>B20/SUM(B13:B26)</f>
        <v>0</v>
      </c>
      <c r="D20" s="522" t="s">
        <v>64</v>
      </c>
      <c r="E20" s="563"/>
      <c r="F20" s="563"/>
      <c r="G20" s="523"/>
      <c r="H20" s="31">
        <f>IF(Brewhouse!V17="Metric", "", IF(D20&lt;&gt;"",VLOOKUP(D20,GRAINLOOKUP!$A$2:$B$200,2,0),0))</f>
        <v>0</v>
      </c>
      <c r="J20" s="526" t="s">
        <v>150</v>
      </c>
      <c r="K20" s="526"/>
      <c r="L20" s="375"/>
      <c r="M20" s="372">
        <v>0</v>
      </c>
      <c r="N20" s="372"/>
      <c r="O20" s="31">
        <f>VLOOKUP(J20,HOPLOOKUP!$A$2:$B$100,2,0)</f>
        <v>0</v>
      </c>
      <c r="P20" s="548"/>
      <c r="Q20" s="549"/>
      <c r="R20" s="44">
        <f xml:space="preserve"> IF(Brewhouse!$O$32="Rager", HopCalc!Z11, HopCalc!S11)</f>
        <v>0</v>
      </c>
      <c r="T20" s="66"/>
      <c r="U20" s="66">
        <f t="shared" si="0"/>
        <v>0</v>
      </c>
      <c r="V20" s="66"/>
      <c r="W20" s="66">
        <f t="shared" si="1"/>
        <v>0</v>
      </c>
      <c r="X20" s="553"/>
      <c r="Y20" s="553"/>
      <c r="Z20" s="372"/>
      <c r="AA20" s="372"/>
      <c r="AB20" t="s">
        <v>1062</v>
      </c>
      <c r="AC20" s="71">
        <f>AC19-AC12</f>
        <v>-2.5</v>
      </c>
      <c r="AD20" t="s">
        <v>1081</v>
      </c>
      <c r="AE20" s="395">
        <f>AE15+AE19</f>
        <v>0</v>
      </c>
      <c r="AF20">
        <f t="shared" si="2"/>
        <v>0</v>
      </c>
      <c r="AG20">
        <f t="shared" si="3"/>
        <v>0</v>
      </c>
    </row>
    <row r="21" spans="2:33" x14ac:dyDescent="0.25">
      <c r="B21" s="372">
        <v>0</v>
      </c>
      <c r="C21" s="249">
        <f>B21/SUM(B13:B26)</f>
        <v>0</v>
      </c>
      <c r="D21" s="522" t="s">
        <v>64</v>
      </c>
      <c r="E21" s="563"/>
      <c r="F21" s="563"/>
      <c r="G21" s="523"/>
      <c r="H21" s="31">
        <f>IF(Brewhouse!V17="Metric", "", IF(D21&lt;&gt;"",VLOOKUP(D21,GRAINLOOKUP!$A$2:$B$200,2,0),0))</f>
        <v>0</v>
      </c>
      <c r="J21" s="526" t="s">
        <v>150</v>
      </c>
      <c r="K21" s="526"/>
      <c r="L21" s="372"/>
      <c r="M21" s="372">
        <v>0</v>
      </c>
      <c r="N21" s="372"/>
      <c r="O21" s="31">
        <f>VLOOKUP(J21,HOPLOOKUP!$A$2:$B$100,2,0)</f>
        <v>0</v>
      </c>
      <c r="P21" s="556"/>
      <c r="Q21" s="556"/>
      <c r="R21" s="44">
        <f xml:space="preserve"> IF(Brewhouse!$O$32="Rager", HopCalc!Z12, HopCalc!S12)</f>
        <v>0</v>
      </c>
      <c r="T21" s="66"/>
      <c r="U21" s="66">
        <f t="shared" si="0"/>
        <v>0</v>
      </c>
      <c r="V21" s="66"/>
      <c r="W21" s="66">
        <f t="shared" si="1"/>
        <v>0</v>
      </c>
      <c r="X21" s="553"/>
      <c r="Y21" s="553"/>
      <c r="Z21" s="372"/>
      <c r="AA21" s="372"/>
      <c r="AB21" t="s">
        <v>1069</v>
      </c>
      <c r="AC21">
        <f>AC20*AC18</f>
        <v>-6.25E-2</v>
      </c>
      <c r="AD21" t="s">
        <v>1082</v>
      </c>
      <c r="AE21" s="395">
        <f>AE19*AC18</f>
        <v>0</v>
      </c>
      <c r="AF21">
        <f t="shared" si="2"/>
        <v>0</v>
      </c>
      <c r="AG21">
        <f t="shared" si="3"/>
        <v>0</v>
      </c>
    </row>
    <row r="22" spans="2:33" x14ac:dyDescent="0.25">
      <c r="B22" s="372">
        <v>0</v>
      </c>
      <c r="C22" s="249">
        <f>B22/SUM(B13:B26)</f>
        <v>0</v>
      </c>
      <c r="D22" s="522" t="s">
        <v>64</v>
      </c>
      <c r="E22" s="563"/>
      <c r="F22" s="563"/>
      <c r="G22" s="523"/>
      <c r="H22" s="31">
        <f>IF(Brewhouse!V17="Metric", "", IF(D22&lt;&gt;"",VLOOKUP(D22,GRAINLOOKUP!$A$2:$B$200,2,0),0))</f>
        <v>0</v>
      </c>
      <c r="J22" s="526" t="s">
        <v>150</v>
      </c>
      <c r="K22" s="526"/>
      <c r="L22" s="372"/>
      <c r="M22" s="372">
        <v>0</v>
      </c>
      <c r="N22" s="372"/>
      <c r="O22" s="31">
        <f>VLOOKUP(J22,HOPLOOKUP!$A$2:$B$100,2,0)</f>
        <v>0</v>
      </c>
      <c r="P22" s="556"/>
      <c r="Q22" s="556"/>
      <c r="R22" s="44">
        <f xml:space="preserve"> IF(Brewhouse!$O$32="Rager", HopCalc!Z13, HopCalc!S13)</f>
        <v>0</v>
      </c>
      <c r="T22" s="66"/>
      <c r="U22" s="66">
        <f t="shared" si="0"/>
        <v>0</v>
      </c>
      <c r="V22" s="66"/>
      <c r="W22" s="66">
        <f t="shared" si="1"/>
        <v>0</v>
      </c>
      <c r="X22" s="553"/>
      <c r="Y22" s="553"/>
      <c r="Z22" s="372"/>
      <c r="AA22" s="372"/>
      <c r="AB22" t="s">
        <v>1070</v>
      </c>
      <c r="AC22">
        <f>AC13+AC21</f>
        <v>4.95</v>
      </c>
      <c r="AD22" t="s">
        <v>1083</v>
      </c>
      <c r="AE22" s="395">
        <f>AE17+AE19</f>
        <v>4.95</v>
      </c>
      <c r="AF22">
        <f t="shared" si="2"/>
        <v>0</v>
      </c>
      <c r="AG22">
        <f t="shared" si="3"/>
        <v>0</v>
      </c>
    </row>
    <row r="23" spans="2:33" x14ac:dyDescent="0.25">
      <c r="B23" s="372">
        <v>0</v>
      </c>
      <c r="C23" s="249">
        <f>B23/SUM(B13:B26)</f>
        <v>0</v>
      </c>
      <c r="D23" s="522" t="s">
        <v>64</v>
      </c>
      <c r="E23" s="563"/>
      <c r="F23" s="563"/>
      <c r="G23" s="523"/>
      <c r="H23" s="31">
        <f>IF(Brewhouse!V17="Metric", "", IF(D23&lt;&gt;"",VLOOKUP(D23,GRAINLOOKUP!$A$2:$B$200,2,0),0))</f>
        <v>0</v>
      </c>
      <c r="J23" s="526" t="s">
        <v>150</v>
      </c>
      <c r="K23" s="526"/>
      <c r="L23" s="375"/>
      <c r="M23" s="372">
        <v>0</v>
      </c>
      <c r="N23" s="372"/>
      <c r="O23" s="31">
        <f>VLOOKUP(J23,HOPLOOKUP!$A$2:$B$100,2,0)</f>
        <v>0</v>
      </c>
      <c r="P23" s="556"/>
      <c r="Q23" s="556"/>
      <c r="R23" s="44">
        <f xml:space="preserve"> IF(Brewhouse!$O$32="Rager", HopCalc!Z14, HopCalc!S14)</f>
        <v>0</v>
      </c>
      <c r="T23" s="66"/>
      <c r="U23" s="66">
        <f t="shared" si="0"/>
        <v>0</v>
      </c>
      <c r="V23" s="66"/>
      <c r="W23" s="66">
        <f t="shared" si="1"/>
        <v>0</v>
      </c>
      <c r="X23" s="553"/>
      <c r="Y23" s="553"/>
      <c r="Z23" s="372"/>
      <c r="AA23" s="372"/>
      <c r="AD23" t="s">
        <v>1084</v>
      </c>
      <c r="AE23" s="395">
        <f>AE20/AE17</f>
        <v>0</v>
      </c>
      <c r="AF23">
        <f t="shared" si="2"/>
        <v>0</v>
      </c>
      <c r="AG23">
        <f t="shared" si="3"/>
        <v>0</v>
      </c>
    </row>
    <row r="24" spans="2:33" x14ac:dyDescent="0.25">
      <c r="B24" s="372">
        <v>0</v>
      </c>
      <c r="C24" s="249">
        <f>B24/SUM(B13:B26)</f>
        <v>0</v>
      </c>
      <c r="D24" s="522" t="s">
        <v>64</v>
      </c>
      <c r="E24" s="563"/>
      <c r="F24" s="563"/>
      <c r="G24" s="523"/>
      <c r="H24" s="31">
        <f>IF(Brewhouse!V17="Metric", "", IF(D24&lt;&gt;"",VLOOKUP(D24,GRAINLOOKUP!$A$2:$B$200,2,0),0))</f>
        <v>0</v>
      </c>
      <c r="J24" s="526" t="s">
        <v>150</v>
      </c>
      <c r="K24" s="526"/>
      <c r="L24" s="372"/>
      <c r="M24" s="372">
        <v>0</v>
      </c>
      <c r="N24" s="372"/>
      <c r="O24" s="31">
        <f>VLOOKUP(J24,HOPLOOKUP!$A$2:$B$100,2,0)</f>
        <v>0</v>
      </c>
      <c r="P24" s="556"/>
      <c r="Q24" s="556"/>
      <c r="R24" s="44">
        <f xml:space="preserve"> IF(Brewhouse!$O$32="Rager", HopCalc!Z15, HopCalc!S15)</f>
        <v>0</v>
      </c>
      <c r="T24" s="66"/>
      <c r="U24" s="66">
        <f t="shared" si="0"/>
        <v>0</v>
      </c>
      <c r="V24" s="66"/>
      <c r="W24" s="66">
        <f t="shared" si="1"/>
        <v>0</v>
      </c>
      <c r="X24" s="553"/>
      <c r="Y24" s="553"/>
      <c r="Z24" s="372"/>
      <c r="AA24" s="372"/>
      <c r="AB24" t="s">
        <v>1061</v>
      </c>
      <c r="AC24">
        <f>AC19/AC13</f>
        <v>0</v>
      </c>
      <c r="AD24" t="s">
        <v>1085</v>
      </c>
      <c r="AE24" s="395">
        <f>AE23*AE21</f>
        <v>0</v>
      </c>
      <c r="AF24">
        <f t="shared" si="2"/>
        <v>0</v>
      </c>
      <c r="AG24">
        <f t="shared" si="3"/>
        <v>0</v>
      </c>
    </row>
    <row r="25" spans="2:33" x14ac:dyDescent="0.25">
      <c r="B25" s="372">
        <v>0</v>
      </c>
      <c r="C25" s="249">
        <f>B25/SUM(B13:B26)</f>
        <v>0</v>
      </c>
      <c r="D25" s="522" t="s">
        <v>64</v>
      </c>
      <c r="E25" s="563"/>
      <c r="F25" s="563"/>
      <c r="G25" s="523"/>
      <c r="H25" s="31">
        <f>IF(Brewhouse!V17="Metric", "", IF(D25&lt;&gt;"",VLOOKUP(D25,GRAINLOOKUP!$A$2:$B$200,2,0),0))</f>
        <v>0</v>
      </c>
      <c r="J25" s="526" t="s">
        <v>150</v>
      </c>
      <c r="K25" s="526"/>
      <c r="L25" s="372"/>
      <c r="M25" s="372">
        <v>0</v>
      </c>
      <c r="N25" s="372"/>
      <c r="O25" s="31">
        <f>VLOOKUP(J25,HOPLOOKUP!$A$2:$B$100,2,0)</f>
        <v>0</v>
      </c>
      <c r="P25" s="556"/>
      <c r="Q25" s="556"/>
      <c r="R25" s="44">
        <f xml:space="preserve"> IF(Brewhouse!$O$32="Rager", HopCalc!Z16, HopCalc!S16)</f>
        <v>0</v>
      </c>
      <c r="T25" s="66"/>
      <c r="U25" s="66">
        <f t="shared" si="0"/>
        <v>0</v>
      </c>
      <c r="V25" s="66"/>
      <c r="W25" s="66">
        <f t="shared" si="1"/>
        <v>0</v>
      </c>
      <c r="X25" s="553"/>
      <c r="Y25" s="553"/>
      <c r="Z25" s="372"/>
      <c r="AA25" s="372"/>
      <c r="AB25" t="s">
        <v>1067</v>
      </c>
      <c r="AC25" s="71">
        <f>AC21*AC24</f>
        <v>0</v>
      </c>
      <c r="AD25" t="s">
        <v>1086</v>
      </c>
      <c r="AE25" s="395">
        <f>AE20+AE24</f>
        <v>0</v>
      </c>
      <c r="AF25">
        <f t="shared" si="2"/>
        <v>0</v>
      </c>
      <c r="AG25">
        <f t="shared" si="3"/>
        <v>0</v>
      </c>
    </row>
    <row r="26" spans="2:33" x14ac:dyDescent="0.25">
      <c r="B26" s="373">
        <v>0</v>
      </c>
      <c r="C26" s="250">
        <f>B26/SUM(B13:B26)</f>
        <v>0</v>
      </c>
      <c r="D26" s="524" t="s">
        <v>64</v>
      </c>
      <c r="E26" s="564"/>
      <c r="F26" s="564"/>
      <c r="G26" s="525"/>
      <c r="H26" s="31">
        <f>IF(Brewhouse!V17="Metric", "", IF(D26&lt;&gt;"",VLOOKUP(D26,GRAINLOOKUP!$A$2:$B$200,2,0),0))</f>
        <v>0</v>
      </c>
      <c r="J26" s="526" t="s">
        <v>150</v>
      </c>
      <c r="K26" s="526"/>
      <c r="L26" s="375"/>
      <c r="M26" s="372">
        <v>0</v>
      </c>
      <c r="N26" s="372"/>
      <c r="O26" s="31">
        <f>VLOOKUP(J26,HOPLOOKUP!$A$2:$B$100,2,0)</f>
        <v>0</v>
      </c>
      <c r="P26" s="556"/>
      <c r="Q26" s="556"/>
      <c r="R26" s="44">
        <f xml:space="preserve"> IF(Brewhouse!$O$32="Rager", HopCalc!Z17, HopCalc!S17)</f>
        <v>0</v>
      </c>
      <c r="T26" s="66"/>
      <c r="U26" s="66">
        <f t="shared" si="0"/>
        <v>0</v>
      </c>
      <c r="V26" s="66"/>
      <c r="W26" s="66">
        <f t="shared" si="1"/>
        <v>0</v>
      </c>
      <c r="X26" s="553"/>
      <c r="Y26" s="553"/>
      <c r="Z26" s="372"/>
      <c r="AA26" s="372"/>
      <c r="AB26" t="s">
        <v>1063</v>
      </c>
      <c r="AC26">
        <f>AC19+AC25</f>
        <v>0</v>
      </c>
      <c r="AE26" s="395"/>
      <c r="AF26">
        <f t="shared" si="2"/>
        <v>0</v>
      </c>
      <c r="AG26">
        <f t="shared" si="3"/>
        <v>0</v>
      </c>
    </row>
    <row r="27" spans="2:33" x14ac:dyDescent="0.25">
      <c r="B27" s="247"/>
      <c r="C27" s="560" t="s">
        <v>650</v>
      </c>
      <c r="D27" s="561"/>
      <c r="E27" s="561"/>
      <c r="F27" s="561"/>
      <c r="G27" s="562"/>
      <c r="H27" s="12"/>
      <c r="J27" s="569" t="s">
        <v>150</v>
      </c>
      <c r="K27" s="569"/>
      <c r="L27" s="373"/>
      <c r="M27" s="373">
        <v>0</v>
      </c>
      <c r="N27" s="373"/>
      <c r="O27" s="32">
        <f>VLOOKUP(J27,HOPLOOKUP!$A$2:$B$100,2,0)</f>
        <v>0</v>
      </c>
      <c r="P27" s="550"/>
      <c r="Q27" s="550"/>
      <c r="R27" s="45">
        <f xml:space="preserve"> IF(Brewhouse!$O$32="Rager", HopCalc!Z18, HopCalc!S18)</f>
        <v>0</v>
      </c>
      <c r="T27" s="66"/>
      <c r="U27" s="66">
        <f t="shared" si="0"/>
        <v>0</v>
      </c>
      <c r="V27" s="66"/>
      <c r="W27" s="66">
        <f t="shared" si="1"/>
        <v>0</v>
      </c>
      <c r="X27" s="587"/>
      <c r="Y27" s="587"/>
      <c r="Z27" s="373"/>
      <c r="AA27" s="373"/>
      <c r="AB27" t="s">
        <v>1071</v>
      </c>
      <c r="AC27">
        <f>AC25*AC18</f>
        <v>0</v>
      </c>
      <c r="AD27" t="s">
        <v>1066</v>
      </c>
      <c r="AE27" s="395">
        <f>IF(AE25=0, 0,  AE25/AC12)</f>
        <v>0</v>
      </c>
      <c r="AF27">
        <f t="shared" si="2"/>
        <v>0</v>
      </c>
      <c r="AG27">
        <f t="shared" si="3"/>
        <v>0</v>
      </c>
    </row>
    <row r="28" spans="2:33" x14ac:dyDescent="0.25">
      <c r="B28" s="113"/>
      <c r="C28" s="244"/>
      <c r="D28" s="251" t="str">
        <f>IF(Brewhouse!AA17="Plato", "Target Plato:", "Target OG:")</f>
        <v>Target OG:</v>
      </c>
      <c r="E28" s="382"/>
      <c r="F28" s="114"/>
      <c r="G28" s="122"/>
      <c r="H28" s="123"/>
      <c r="I28" s="117"/>
      <c r="J28" s="557" t="s">
        <v>1087</v>
      </c>
      <c r="K28" s="558"/>
      <c r="L28" s="559"/>
      <c r="M28" s="398"/>
      <c r="N28" s="118"/>
      <c r="O28" s="405"/>
      <c r="P28" s="551" t="s">
        <v>1065</v>
      </c>
      <c r="Q28" s="552"/>
      <c r="R28" s="399">
        <f>SUM(R13:R27)</f>
        <v>42.311974321564179</v>
      </c>
      <c r="T28" s="66" t="s">
        <v>364</v>
      </c>
      <c r="U28" s="66">
        <f>SUM(U13:U27)</f>
        <v>12.539800000000001</v>
      </c>
      <c r="V28" s="66">
        <f>IF(Brewhouse!AA17="Plato", 1+ (E28 / (258.6 - ( (E28/258.2) *227.1) ) ), E28)</f>
        <v>0</v>
      </c>
      <c r="W28" s="66" t="s">
        <v>694</v>
      </c>
      <c r="AE28" s="1" t="s">
        <v>1065</v>
      </c>
      <c r="AG28">
        <f>SUM(AG13:AG27)</f>
        <v>0</v>
      </c>
    </row>
    <row r="29" spans="2:33" x14ac:dyDescent="0.25">
      <c r="B29" s="115"/>
      <c r="C29" s="115"/>
      <c r="D29" s="115"/>
      <c r="E29" s="292"/>
      <c r="F29" s="115"/>
      <c r="G29" s="115"/>
      <c r="H29" s="116"/>
      <c r="I29" s="117"/>
      <c r="M29" s="119"/>
      <c r="N29" s="119"/>
      <c r="O29" s="118"/>
      <c r="P29" s="120"/>
      <c r="Q29" s="120"/>
      <c r="R29" s="120"/>
      <c r="T29" s="66" t="s">
        <v>365</v>
      </c>
      <c r="U29" s="121">
        <f xml:space="preserve"> GravCalcs!J23+1</f>
        <v>1.0637463501246882</v>
      </c>
      <c r="V29" s="66">
        <f>IF(((U29-1)=0), 0,  (V28-1)/(U29-1))</f>
        <v>-15.687172646653408</v>
      </c>
      <c r="W29" t="s">
        <v>958</v>
      </c>
      <c r="AB29" s="71"/>
    </row>
    <row r="30" spans="2:33" x14ac:dyDescent="0.25">
      <c r="B30" s="540" t="s">
        <v>267</v>
      </c>
      <c r="C30" s="541"/>
      <c r="D30" s="541"/>
      <c r="E30" s="541"/>
      <c r="F30" s="541"/>
      <c r="G30" s="541"/>
      <c r="H30" s="541"/>
      <c r="I30" s="541"/>
      <c r="J30" s="541"/>
      <c r="K30" s="541"/>
      <c r="L30" s="542"/>
      <c r="M30" s="98" t="str">
        <f>STYLES!P12</f>
        <v>GOOD</v>
      </c>
      <c r="N30" s="540" t="s">
        <v>269</v>
      </c>
      <c r="O30" s="541"/>
      <c r="P30" s="541"/>
      <c r="Q30" s="541"/>
      <c r="R30" s="541"/>
      <c r="S30" s="541"/>
      <c r="T30" s="541"/>
      <c r="U30" s="541"/>
      <c r="V30" s="541"/>
      <c r="W30" s="541"/>
      <c r="X30" s="541"/>
      <c r="Y30" s="541"/>
      <c r="Z30" s="541"/>
      <c r="AA30" s="542"/>
      <c r="AB30" s="99" t="s">
        <v>1088</v>
      </c>
      <c r="AF30" s="539" t="s">
        <v>1068</v>
      </c>
    </row>
    <row r="31" spans="2:33" x14ac:dyDescent="0.25">
      <c r="B31" s="540" t="s">
        <v>4</v>
      </c>
      <c r="C31" s="541"/>
      <c r="D31" s="542"/>
      <c r="E31" s="67" t="s">
        <v>151</v>
      </c>
      <c r="F31" s="67" t="str">
        <f>IF(Brewhouse!V17="Metric", "Grams", "Ounces")</f>
        <v>Ounces</v>
      </c>
      <c r="G31" s="68" t="s">
        <v>268</v>
      </c>
      <c r="H31" s="69" t="s">
        <v>144</v>
      </c>
      <c r="I31" s="70" t="s">
        <v>145</v>
      </c>
      <c r="J31" s="593" t="s">
        <v>152</v>
      </c>
      <c r="K31" s="593"/>
      <c r="L31" s="89" t="s">
        <v>284</v>
      </c>
      <c r="M31" s="98" t="str">
        <f>STYLES!P14</f>
        <v>BAD</v>
      </c>
      <c r="N31" s="543" t="s">
        <v>4</v>
      </c>
      <c r="O31" s="543"/>
      <c r="P31" s="543" t="s">
        <v>151</v>
      </c>
      <c r="Q31" s="543"/>
      <c r="R31" s="67" t="s">
        <v>140</v>
      </c>
      <c r="S31" s="515" t="s">
        <v>961</v>
      </c>
      <c r="T31" s="516"/>
      <c r="U31" s="516"/>
      <c r="V31" s="516"/>
      <c r="W31" s="516"/>
      <c r="X31" s="517"/>
      <c r="Y31" s="327" t="s">
        <v>959</v>
      </c>
      <c r="Z31" s="327" t="s">
        <v>960</v>
      </c>
      <c r="AA31" s="327" t="s">
        <v>962</v>
      </c>
      <c r="AB31" t="s">
        <v>1053</v>
      </c>
      <c r="AC31">
        <f>SUM(HopCalc!L24:L28)</f>
        <v>2</v>
      </c>
      <c r="AD31" t="s">
        <v>1072</v>
      </c>
      <c r="AE31" s="400">
        <f>AC41+AC46</f>
        <v>4.9625000000000004</v>
      </c>
      <c r="AF31" s="539"/>
      <c r="AG31" t="s">
        <v>1076</v>
      </c>
    </row>
    <row r="32" spans="2:33" x14ac:dyDescent="0.25">
      <c r="B32" s="545" t="s">
        <v>9</v>
      </c>
      <c r="C32" s="545"/>
      <c r="D32" s="545"/>
      <c r="E32" s="409" t="s">
        <v>1024</v>
      </c>
      <c r="F32" s="371">
        <v>0.5</v>
      </c>
      <c r="G32" s="371">
        <v>190</v>
      </c>
      <c r="H32" s="371">
        <v>15</v>
      </c>
      <c r="I32" s="62">
        <f>VLOOKUP(B32,HOPLOOKUP!$A$2:$B$100,2,0)</f>
        <v>7.2</v>
      </c>
      <c r="J32" s="570">
        <v>8</v>
      </c>
      <c r="K32" s="570"/>
      <c r="L32" s="43">
        <f>HopCalc!S24</f>
        <v>3.76484720839297</v>
      </c>
      <c r="N32" s="545" t="s">
        <v>9</v>
      </c>
      <c r="O32" s="545"/>
      <c r="P32" s="566" t="s">
        <v>1024</v>
      </c>
      <c r="Q32" s="568"/>
      <c r="R32" s="371">
        <v>0.5</v>
      </c>
      <c r="S32" s="531" t="s">
        <v>1322</v>
      </c>
      <c r="T32" s="531"/>
      <c r="U32" s="531"/>
      <c r="V32" s="531"/>
      <c r="W32" s="531"/>
      <c r="X32" s="531"/>
      <c r="Y32" s="371">
        <v>4</v>
      </c>
      <c r="Z32" s="371">
        <v>66</v>
      </c>
      <c r="AA32" s="376" t="s">
        <v>1327</v>
      </c>
      <c r="AB32" t="s">
        <v>1054</v>
      </c>
      <c r="AC32">
        <f>HopCalc!$C$6+'Total H2O Sub'!$D$12+'Total H2O Sub'!$D$15+'Total H2O Sub'!$D$16</f>
        <v>5.0125000000000002</v>
      </c>
      <c r="AD32" t="s">
        <v>1073</v>
      </c>
      <c r="AE32" s="400">
        <f>AC45/AC41</f>
        <v>0</v>
      </c>
      <c r="AF32">
        <f>F32</f>
        <v>0.5</v>
      </c>
      <c r="AG32">
        <f>$AE$46*AF32</f>
        <v>0</v>
      </c>
    </row>
    <row r="33" spans="2:33" x14ac:dyDescent="0.25">
      <c r="B33" s="526" t="s">
        <v>18</v>
      </c>
      <c r="C33" s="526"/>
      <c r="D33" s="526"/>
      <c r="E33" s="432" t="s">
        <v>1024</v>
      </c>
      <c r="F33" s="432">
        <v>1.5</v>
      </c>
      <c r="G33" s="432">
        <v>190</v>
      </c>
      <c r="H33" s="432">
        <v>15</v>
      </c>
      <c r="I33" s="31">
        <f>VLOOKUP(B33,HOPLOOKUP!$A$2:$B$100,2,0)</f>
        <v>2.7</v>
      </c>
      <c r="J33" s="556">
        <v>3.1</v>
      </c>
      <c r="K33" s="556"/>
      <c r="L33" s="44">
        <f>HopCalc!S25</f>
        <v>4.3766348797568275</v>
      </c>
      <c r="N33" s="526" t="s">
        <v>18</v>
      </c>
      <c r="O33" s="526"/>
      <c r="P33" s="522" t="s">
        <v>1024</v>
      </c>
      <c r="Q33" s="523"/>
      <c r="R33" s="372">
        <v>0.5</v>
      </c>
      <c r="S33" s="532" t="s">
        <v>1322</v>
      </c>
      <c r="T33" s="532"/>
      <c r="U33" s="532"/>
      <c r="V33" s="532"/>
      <c r="W33" s="532"/>
      <c r="X33" s="532"/>
      <c r="Y33" s="372">
        <v>4</v>
      </c>
      <c r="Z33" s="372">
        <v>66</v>
      </c>
      <c r="AA33" s="377" t="s">
        <v>1327</v>
      </c>
      <c r="AB33" t="s">
        <v>1055</v>
      </c>
      <c r="AC33" s="149">
        <f>L37</f>
        <v>8.1414820881497967</v>
      </c>
      <c r="AD33" t="s">
        <v>1074</v>
      </c>
      <c r="AE33" s="400">
        <f>AE32*AC46</f>
        <v>0</v>
      </c>
      <c r="AF33">
        <f>F33</f>
        <v>1.5</v>
      </c>
      <c r="AG33">
        <f>$AE$46*AF33</f>
        <v>0</v>
      </c>
    </row>
    <row r="34" spans="2:33" x14ac:dyDescent="0.25">
      <c r="B34" s="526" t="s">
        <v>150</v>
      </c>
      <c r="C34" s="526"/>
      <c r="D34" s="526"/>
      <c r="E34" s="407"/>
      <c r="F34" s="372">
        <v>0</v>
      </c>
      <c r="G34" s="372">
        <v>0</v>
      </c>
      <c r="H34" s="372"/>
      <c r="I34" s="31">
        <f>VLOOKUP(B34,HOPLOOKUP!$A$2:$B$100,2,0)</f>
        <v>0</v>
      </c>
      <c r="J34" s="556"/>
      <c r="K34" s="556"/>
      <c r="L34" s="44">
        <f>HopCalc!S26</f>
        <v>0</v>
      </c>
      <c r="N34" s="526" t="s">
        <v>150</v>
      </c>
      <c r="O34" s="526"/>
      <c r="P34" s="522"/>
      <c r="Q34" s="523"/>
      <c r="R34" s="372"/>
      <c r="S34" s="532"/>
      <c r="T34" s="532"/>
      <c r="U34" s="532"/>
      <c r="V34" s="532"/>
      <c r="W34" s="532"/>
      <c r="X34" s="532"/>
      <c r="Y34" s="372"/>
      <c r="Z34" s="372"/>
      <c r="AA34" s="377"/>
      <c r="AB34" t="s">
        <v>1056</v>
      </c>
      <c r="AC34" s="306">
        <f>H37</f>
        <v>0</v>
      </c>
      <c r="AD34" t="s">
        <v>1075</v>
      </c>
      <c r="AE34" s="400">
        <f>AC45+AE33</f>
        <v>0</v>
      </c>
      <c r="AF34">
        <f>F34</f>
        <v>0</v>
      </c>
      <c r="AG34">
        <f>$AE$46*AF34</f>
        <v>0</v>
      </c>
    </row>
    <row r="35" spans="2:33" x14ac:dyDescent="0.25">
      <c r="B35" s="526" t="s">
        <v>150</v>
      </c>
      <c r="C35" s="526"/>
      <c r="D35" s="526"/>
      <c r="E35" s="407"/>
      <c r="F35" s="372">
        <v>0</v>
      </c>
      <c r="G35" s="372">
        <v>0</v>
      </c>
      <c r="H35" s="372"/>
      <c r="I35" s="31">
        <f>VLOOKUP(B35,HOPLOOKUP!$A$2:$B$100,2,0)</f>
        <v>0</v>
      </c>
      <c r="J35" s="556"/>
      <c r="K35" s="556"/>
      <c r="L35" s="44">
        <f>HopCalc!S27</f>
        <v>0</v>
      </c>
      <c r="N35" s="526" t="s">
        <v>150</v>
      </c>
      <c r="O35" s="526"/>
      <c r="P35" s="522"/>
      <c r="Q35" s="523"/>
      <c r="R35" s="372"/>
      <c r="S35" s="532"/>
      <c r="T35" s="532"/>
      <c r="U35" s="532"/>
      <c r="V35" s="532"/>
      <c r="W35" s="532"/>
      <c r="X35" s="532"/>
      <c r="Y35" s="372"/>
      <c r="Z35" s="372"/>
      <c r="AA35" s="377"/>
      <c r="AD35" t="s">
        <v>1077</v>
      </c>
      <c r="AE35" s="400">
        <f>AE33*AC37</f>
        <v>0</v>
      </c>
      <c r="AF35">
        <f>F35</f>
        <v>0</v>
      </c>
      <c r="AG35">
        <f>$AE$46*AF35</f>
        <v>0</v>
      </c>
    </row>
    <row r="36" spans="2:33" x14ac:dyDescent="0.25">
      <c r="B36" s="569" t="s">
        <v>150</v>
      </c>
      <c r="C36" s="569"/>
      <c r="D36" s="569"/>
      <c r="E36" s="408"/>
      <c r="F36" s="373">
        <v>0</v>
      </c>
      <c r="G36" s="373"/>
      <c r="H36" s="373"/>
      <c r="I36" s="32">
        <f>VLOOKUP(B36,HOPLOOKUP!$A$2:$B$100,2,0)</f>
        <v>0</v>
      </c>
      <c r="J36" s="550"/>
      <c r="K36" s="550"/>
      <c r="L36" s="45">
        <f>HopCalc!S28</f>
        <v>0</v>
      </c>
      <c r="N36" s="569" t="s">
        <v>150</v>
      </c>
      <c r="O36" s="569"/>
      <c r="P36" s="524"/>
      <c r="Q36" s="525"/>
      <c r="R36" s="373"/>
      <c r="S36" s="603"/>
      <c r="T36" s="603"/>
      <c r="U36" s="603"/>
      <c r="V36" s="603"/>
      <c r="W36" s="603"/>
      <c r="X36" s="603"/>
      <c r="Y36" s="373"/>
      <c r="Z36" s="373"/>
      <c r="AA36" s="378"/>
      <c r="AB36" t="s">
        <v>1058</v>
      </c>
      <c r="AC36">
        <f>IF(AC33=0, 0, AC34/AC33)</f>
        <v>0</v>
      </c>
      <c r="AD36" t="s">
        <v>1078</v>
      </c>
      <c r="AE36" s="400">
        <f>AE31+AE35</f>
        <v>4.9625000000000004</v>
      </c>
      <c r="AF36">
        <f>F36</f>
        <v>0</v>
      </c>
      <c r="AG36">
        <f>$AE$46*AF36</f>
        <v>0</v>
      </c>
    </row>
    <row r="37" spans="2:33" x14ac:dyDescent="0.25">
      <c r="B37" s="557" t="s">
        <v>1089</v>
      </c>
      <c r="C37" s="558"/>
      <c r="D37" s="558"/>
      <c r="E37" s="558"/>
      <c r="F37" s="558"/>
      <c r="G37" s="559"/>
      <c r="H37" s="398"/>
      <c r="I37" s="404"/>
      <c r="J37" s="403"/>
      <c r="K37" s="401" t="s">
        <v>1065</v>
      </c>
      <c r="L37" s="402">
        <f>SUM(L32:L36)</f>
        <v>8.1414820881497967</v>
      </c>
      <c r="O37" s="97" t="str">
        <f>STYLES!R8</f>
        <v>GOOD</v>
      </c>
      <c r="AB37" t="s">
        <v>1059</v>
      </c>
      <c r="AC37">
        <f xml:space="preserve"> IF( (HopCalc!G29+HopCalc!H29)=0, 0,  'Total H2O Sub'!$J$12/(HopCalc!G29+HopCalc!H29))</f>
        <v>2.5000000000000001E-2</v>
      </c>
      <c r="AD37" t="s">
        <v>1079</v>
      </c>
      <c r="AE37" s="400">
        <f>AE34/AE31</f>
        <v>0</v>
      </c>
    </row>
    <row r="38" spans="2:33" x14ac:dyDescent="0.25">
      <c r="O38" s="97"/>
      <c r="X38" s="536" t="s">
        <v>739</v>
      </c>
      <c r="Y38" s="537"/>
      <c r="Z38" s="537"/>
      <c r="AA38" s="538"/>
      <c r="AB38" t="s">
        <v>1060</v>
      </c>
      <c r="AC38">
        <f>AC36*AC31</f>
        <v>0</v>
      </c>
      <c r="AD38" t="s">
        <v>1080</v>
      </c>
      <c r="AE38" s="400">
        <f>AE37*AE35</f>
        <v>0</v>
      </c>
    </row>
    <row r="39" spans="2:33" x14ac:dyDescent="0.25">
      <c r="O39" s="97"/>
      <c r="X39" s="328" t="str">
        <f>IF(Brewhouse!AA17="Plato", "OG (P)", "OG")</f>
        <v>OG</v>
      </c>
      <c r="Y39" s="536" t="s">
        <v>794</v>
      </c>
      <c r="Z39" s="537"/>
      <c r="AA39" s="328" t="str">
        <f>IF(Brewhouse!AA17="Plato", "FG (P)", "FG")</f>
        <v>FG</v>
      </c>
      <c r="AB39" t="s">
        <v>1062</v>
      </c>
      <c r="AC39" s="71">
        <f>AC38-AC31</f>
        <v>-2</v>
      </c>
      <c r="AD39" t="s">
        <v>1081</v>
      </c>
      <c r="AE39" s="400">
        <f>AE34+AE38</f>
        <v>0</v>
      </c>
    </row>
    <row r="40" spans="2:33" x14ac:dyDescent="0.25">
      <c r="O40" s="97"/>
      <c r="X40" s="381"/>
      <c r="Y40" s="533"/>
      <c r="Z40" s="533"/>
      <c r="AA40" s="381"/>
      <c r="AB40" t="s">
        <v>1069</v>
      </c>
      <c r="AC40">
        <f>AC39*AC37</f>
        <v>-0.05</v>
      </c>
      <c r="AD40" t="s">
        <v>1082</v>
      </c>
      <c r="AE40" s="400">
        <f>AE38*AC37</f>
        <v>0</v>
      </c>
    </row>
    <row r="41" spans="2:33" x14ac:dyDescent="0.25">
      <c r="B41" s="515" t="s">
        <v>121</v>
      </c>
      <c r="C41" s="516"/>
      <c r="D41" s="516"/>
      <c r="E41" s="516"/>
      <c r="F41" s="517"/>
      <c r="G41" s="97" t="str">
        <f>STYLES!P4</f>
        <v>GOOD</v>
      </c>
      <c r="H41" s="515" t="s">
        <v>579</v>
      </c>
      <c r="I41" s="516"/>
      <c r="J41" s="252" t="s">
        <v>654</v>
      </c>
      <c r="K41" s="252" t="s">
        <v>653</v>
      </c>
      <c r="L41" s="237" t="s">
        <v>637</v>
      </c>
      <c r="M41" s="518" t="s">
        <v>638</v>
      </c>
      <c r="N41" s="519"/>
      <c r="O41" s="236" t="str">
        <f>STYLES!P8</f>
        <v>GOOD</v>
      </c>
      <c r="P41" s="515" t="s">
        <v>359</v>
      </c>
      <c r="Q41" s="516"/>
      <c r="R41" s="517"/>
      <c r="X41" s="534" t="s">
        <v>740</v>
      </c>
      <c r="Y41" s="535"/>
      <c r="Z41" s="535"/>
      <c r="AA41" s="284">
        <f>IF(Brewhouse!AA17="Plato",                    IF(Brewhouse!V17="Metric",  B6*((Y40*0.264172051)/'Total H2O Sub'!D27)*(((1+(X40/(258.6-((X40/258.2) *227.1))))-1-GravCalcs!Q23)/(GravCalcs!J23-GravCalcs!Q23)), B6*(Y40/'Total H2O Sub'!D27)*(((1+(X40/(258.6-((X40/258.2) *227.1))))-1-GravCalcs!Q23)/(GravCalcs!J23-GravCalcs!Q23))),                        IF(Brewhouse!V17="Metric",  B6*((Y40*0.264172051)/'Total H2O Sub'!D27)*((X40-1-GravCalcs!Q23)/(GravCalcs!J23-GravCalcs!Q23)), B6*(Y40/'Total H2O Sub'!D27)*((X40-1-GravCalcs!Q23)/(GravCalcs!J23-GravCalcs!Q23))))</f>
        <v>0</v>
      </c>
      <c r="AB41" t="s">
        <v>1070</v>
      </c>
      <c r="AC41">
        <f>AC32+AC40</f>
        <v>4.9625000000000004</v>
      </c>
      <c r="AD41" t="s">
        <v>1083</v>
      </c>
      <c r="AE41" s="400">
        <f>AE36+AE38</f>
        <v>4.9625000000000004</v>
      </c>
    </row>
    <row r="42" spans="2:33" x14ac:dyDescent="0.25">
      <c r="B42" s="464" t="s">
        <v>851</v>
      </c>
      <c r="C42" s="465"/>
      <c r="D42" s="465"/>
      <c r="E42" s="465"/>
      <c r="F42" s="466"/>
      <c r="G42" s="97" t="str">
        <f>STYLES!P6</f>
        <v>GOOD</v>
      </c>
      <c r="H42" s="464">
        <v>1</v>
      </c>
      <c r="I42" s="465"/>
      <c r="J42" s="379"/>
      <c r="K42" s="380">
        <v>10</v>
      </c>
      <c r="L42" s="238">
        <f>Yeast!B5</f>
        <v>0.93216433999924353</v>
      </c>
      <c r="M42" s="588"/>
      <c r="N42" s="589"/>
      <c r="O42" s="236" t="str">
        <f>STYLES!P10</f>
        <v>GOOD</v>
      </c>
      <c r="P42" s="464">
        <v>68</v>
      </c>
      <c r="Q42" s="465"/>
      <c r="R42" s="466"/>
      <c r="X42" s="513" t="s">
        <v>741</v>
      </c>
      <c r="Y42" s="514"/>
      <c r="Z42" s="514"/>
      <c r="AA42" s="286">
        <f>IF(Brewhouse!AA17="Plato", ((1+(X40/(258.6-((X40/258.2) *227.1))))-(1+(AA40/(258.6-((AA40/258.2) *227.1)))))/((1+(X40/(258.6-((X40/258.2) *227.1))))-1), (X40-AA40)/(X40-1) )</f>
        <v>0</v>
      </c>
      <c r="AD42" t="s">
        <v>1084</v>
      </c>
      <c r="AE42" s="400">
        <f>AE39/AE36</f>
        <v>0</v>
      </c>
    </row>
    <row r="43" spans="2:33" x14ac:dyDescent="0.25">
      <c r="X43" s="513" t="s">
        <v>742</v>
      </c>
      <c r="Y43" s="514"/>
      <c r="Z43" s="514"/>
      <c r="AA43" s="286">
        <f>IF(Brewhouse!AA17="Plato", (131.25*(( (1+(X40/(258.6-((X40/258.2) *227.1)))))-( (1+(AA40/(258.6-((AA40/258.2) *227.1)))))))/100, (131.25*((X40)-(AA40)))/100)</f>
        <v>0</v>
      </c>
      <c r="AB43" t="s">
        <v>1061</v>
      </c>
      <c r="AC43">
        <f>AC38/AC32</f>
        <v>0</v>
      </c>
      <c r="AD43" t="s">
        <v>1085</v>
      </c>
      <c r="AE43" s="400">
        <f>AE42*AE40</f>
        <v>0</v>
      </c>
    </row>
    <row r="44" spans="2:33" x14ac:dyDescent="0.25">
      <c r="B44" s="604" t="s">
        <v>631</v>
      </c>
      <c r="C44" s="605"/>
      <c r="D44" s="605"/>
      <c r="E44" s="608" t="str">
        <f>Yeast!H44</f>
        <v>Single Step Stir Plate Starter, 0.4 Quarts</v>
      </c>
      <c r="F44" s="608"/>
      <c r="G44" s="608"/>
      <c r="H44" s="608"/>
      <c r="I44" s="608"/>
      <c r="J44" s="608"/>
      <c r="K44" s="608"/>
      <c r="L44" s="608"/>
      <c r="M44" s="527" t="s">
        <v>1270</v>
      </c>
      <c r="N44" s="528"/>
      <c r="O44" s="312"/>
      <c r="P44" s="313"/>
      <c r="Q44" s="313"/>
      <c r="R44" s="313"/>
      <c r="S44" s="313"/>
      <c r="T44" s="313"/>
      <c r="U44" s="313"/>
      <c r="V44" s="313"/>
      <c r="W44" s="313"/>
      <c r="X44" s="594" t="s">
        <v>745</v>
      </c>
      <c r="Y44" s="595"/>
      <c r="Z44" s="595"/>
      <c r="AA44" s="287">
        <f>IF(Brewhouse!AA17="Plato",     ((76.08 * ((1+(X40/(258.6-((X40/258.2) *227.1))))-(1+(AA40/(258.6-((AA40/258.2) *227.1))))) / (1.775-(1+(X40/(258.6-((X40/258.2) *227.1)))))) * ((1+(AA40/(258.6-((AA40/258.2) *227.1)))) / 0.794))/100,                        ((76.08 * (X40-AA40) / (1.775-X40)) * (AA40 / 0.794))/100    )</f>
        <v>0</v>
      </c>
      <c r="AB44" t="s">
        <v>1067</v>
      </c>
      <c r="AC44" s="71">
        <f>AC40*AC43</f>
        <v>0</v>
      </c>
      <c r="AD44" t="s">
        <v>1086</v>
      </c>
      <c r="AE44" s="400">
        <f>AE39+AE43</f>
        <v>0</v>
      </c>
    </row>
    <row r="45" spans="2:33" x14ac:dyDescent="0.25">
      <c r="B45" s="606"/>
      <c r="C45" s="607"/>
      <c r="D45" s="607"/>
      <c r="E45" s="609" t="str">
        <f>Yeast!F49</f>
        <v>1.3 Ounces DME and 0.048 grams Wyeast Yeast Nutrient</v>
      </c>
      <c r="F45" s="609"/>
      <c r="G45" s="609"/>
      <c r="H45" s="609"/>
      <c r="I45" s="609"/>
      <c r="J45" s="609"/>
      <c r="K45" s="609"/>
      <c r="L45" s="609"/>
      <c r="M45" s="529" t="str">
        <f>CONCATENATE(ROUND(Yeast!E16,1)&amp;" Vials/Packs")</f>
        <v>1.1 Vials/Packs</v>
      </c>
      <c r="N45" s="530"/>
      <c r="O45" s="229"/>
      <c r="P45" s="8"/>
      <c r="Q45" s="8"/>
      <c r="R45" s="8"/>
      <c r="S45" s="8"/>
      <c r="T45" s="8"/>
      <c r="U45" s="8"/>
      <c r="V45" s="8"/>
      <c r="W45" s="8"/>
      <c r="X45" s="8"/>
      <c r="Y45" s="8"/>
      <c r="Z45" s="8"/>
      <c r="AA45" s="8"/>
      <c r="AB45" t="s">
        <v>1063</v>
      </c>
      <c r="AC45">
        <f>AC38+AC44</f>
        <v>0</v>
      </c>
    </row>
    <row r="46" spans="2:33" ht="15" customHeight="1" x14ac:dyDescent="0.25">
      <c r="B46" s="614" t="str">
        <f>IF('Total H2O Sub'!M26="", IF(Water!AG3= "Y", CONCATENATE("(", Water!U4*100, "% Distilled)"), ""), 'Total H2O Sub'!M26)</f>
        <v/>
      </c>
      <c r="C46" s="615"/>
      <c r="D46" s="615"/>
      <c r="E46" s="583" t="s">
        <v>945</v>
      </c>
      <c r="F46" s="583"/>
      <c r="G46" s="49">
        <f>IF(Brewhouse!V17="Metric", 'Total H2O Sub'!J24/0.264172051, 'Total H2O Sub'!J24)</f>
        <v>3.9186875000000003</v>
      </c>
      <c r="H46" s="296" t="str">
        <f>IF(Brewhouse!V17="Metric", "liters, @", "gallons, @")</f>
        <v>gallons, @</v>
      </c>
      <c r="I46" s="57">
        <f>IF(Brewhouse!V17="Metric",  ('H20 Temps Sub'!E48-32)*(5/9),  'H20 Temps Sub'!E48)</f>
        <v>171.82003285538843</v>
      </c>
      <c r="J46" s="10" t="str">
        <f>IF(Brewhouse!V17="Metric", "degrees C", "degrees F")</f>
        <v>degrees F</v>
      </c>
      <c r="K46" s="10"/>
      <c r="L46" s="10"/>
      <c r="M46" s="520" t="str">
        <f>IF(Brewhouse!C5&gt;0,        CONCATENATE("(Add ",       ROUND( (IF(Brewhouse!V17="Metric", 'Total H2O Sub'!J24 / 0.264172051,  'Total H2O Sub'!J24)  +  Brewhouse!C5), 2), " gal to HLT)"             ),                     "")</f>
        <v/>
      </c>
      <c r="N46" s="521"/>
      <c r="O46" s="534" t="s">
        <v>844</v>
      </c>
      <c r="P46" s="535"/>
      <c r="Q46" s="598" t="str">
        <f>CONCATENATE(Water!F38, Water!H38, Water!J38, Water!L38, Water!N38, Water!P38, Water!R38, Water!Y38, Water!AA38, Water!AC38)</f>
        <v xml:space="preserve">2g CaCl2, 1.5g CaSO4, 2g NaCl, 2ml Lactic Acid, </v>
      </c>
      <c r="R46" s="598"/>
      <c r="S46" s="598"/>
      <c r="T46" s="598"/>
      <c r="U46" s="598"/>
      <c r="V46" s="598"/>
      <c r="W46" s="598"/>
      <c r="X46" s="598"/>
      <c r="Y46" s="598"/>
      <c r="Z46" s="598"/>
      <c r="AA46" s="599"/>
      <c r="AB46" t="s">
        <v>1071</v>
      </c>
      <c r="AC46">
        <f>AC44*AC37</f>
        <v>0</v>
      </c>
      <c r="AD46" t="s">
        <v>1066</v>
      </c>
      <c r="AE46" s="400">
        <f xml:space="preserve"> IF(AC31=0, 0,  AE44/AC31)</f>
        <v>0</v>
      </c>
    </row>
    <row r="47" spans="2:33" x14ac:dyDescent="0.25">
      <c r="B47" s="612" t="str">
        <f>IF('Total H2O Sub'!N26="", IF(Water!AG3= "Y", CONCATENATE("(", Water!Y4*100, "% Distilled)"), ""), 'Total H2O Sub'!N26)</f>
        <v/>
      </c>
      <c r="C47" s="613"/>
      <c r="D47" s="613"/>
      <c r="E47" s="535" t="s">
        <v>3</v>
      </c>
      <c r="F47" s="535"/>
      <c r="G47" s="50">
        <f>IF(Brewhouse!V17="Metric", 'Total H2O Sub'!J25/0.264172051, 'Total H2O Sub'!J25)</f>
        <v>3.8610884999999997</v>
      </c>
      <c r="H47" s="2" t="str">
        <f>H46</f>
        <v>gallons, @</v>
      </c>
      <c r="I47" s="58">
        <f>IF(G47=0, "", IF(Brewhouse!V17="Metric",  ('H20 Temps Sub'!I36-32)*(5/9),  'H20 Temps Sub'!I36))</f>
        <v>177.85946216980005</v>
      </c>
      <c r="J47" s="2" t="str">
        <f>IF(G47=0, "", IF(Brewhouse!V17="Metric", "degrees C (to reach 75.6C)", "degrees F (to reach 168F)"))</f>
        <v>degrees F (to reach 168F)</v>
      </c>
      <c r="K47" s="2"/>
      <c r="L47" s="2"/>
      <c r="M47" s="600" t="str">
        <f>IF(Brewhouse!C8&gt;0,    CONCATENATE("(Add ", ROUND(    IF(Brewhouse!C11="N", IF(Brewhouse!V17="Metric", ('Total H2O Sub'!J25 / 0.264172051)+Brewhouse!C8,  'Total H2O Sub'!J25  +  Brewhouse!C8),  IF(Brewhouse!V17="Metric", ('Total H2O Sub'!J25 / 0.264172051),  'Total H2O Sub'!J25)), 2), " gal to HLT)"    ),                "")</f>
        <v/>
      </c>
      <c r="N47" s="528"/>
      <c r="O47" s="312"/>
      <c r="P47" s="313"/>
      <c r="Q47" s="596"/>
      <c r="R47" s="596"/>
      <c r="S47" s="596"/>
      <c r="T47" s="596"/>
      <c r="U47" s="596"/>
      <c r="V47" s="596"/>
      <c r="W47" s="596"/>
      <c r="X47" s="596"/>
      <c r="Y47" s="596"/>
      <c r="Z47" s="596"/>
      <c r="AA47" s="597"/>
    </row>
    <row r="48" spans="2:33" x14ac:dyDescent="0.25">
      <c r="B48" s="3"/>
      <c r="C48" s="245"/>
      <c r="D48" s="4"/>
      <c r="E48" s="4"/>
      <c r="F48" s="5"/>
      <c r="G48" s="6" t="s">
        <v>2</v>
      </c>
      <c r="I48" s="4"/>
      <c r="J48" s="4"/>
      <c r="K48" s="4"/>
      <c r="L48" s="4"/>
      <c r="M48" s="4"/>
      <c r="N48" s="7"/>
      <c r="O48" s="312"/>
      <c r="P48" s="313"/>
      <c r="Q48" s="596"/>
      <c r="R48" s="596"/>
      <c r="S48" s="596"/>
      <c r="T48" s="596"/>
      <c r="U48" s="596"/>
      <c r="V48" s="596"/>
      <c r="W48" s="596"/>
      <c r="X48" s="596"/>
      <c r="Y48" s="596"/>
      <c r="Z48" s="596"/>
      <c r="AA48" s="597"/>
    </row>
    <row r="49" spans="2:27" x14ac:dyDescent="0.25">
      <c r="B49" s="590" t="str">
        <f>IF(G49&lt;0.001,IF(Water!AG3="Y",CONCATENATE("(",Water!Y4*100,"% Distilled)"),""),IF('Total H2O Sub'!O26="",IF(Water!AG3="Y",CONCATENATE("(",Water!Y4*100,"% Distilled)"),""),'Total H2O Sub'!O26))</f>
        <v/>
      </c>
      <c r="C49" s="591"/>
      <c r="D49" s="584" t="s">
        <v>946</v>
      </c>
      <c r="E49" s="584"/>
      <c r="F49" s="584"/>
      <c r="G49" s="51">
        <f>G47</f>
        <v>3.8610884999999997</v>
      </c>
      <c r="H49" s="8" t="str">
        <f>H46</f>
        <v>gallons, @</v>
      </c>
      <c r="I49" s="59">
        <f>IF(G49=0, "",      IF(Brewhouse!V17="Metric",  ('H20 Temps Sub'!I37-32)*(5/9),  'H20 Temps Sub'!I37))</f>
        <v>187.6034978219225</v>
      </c>
      <c r="J49" s="8" t="str">
        <f>J47</f>
        <v>degrees F (to reach 168F)</v>
      </c>
      <c r="K49" s="8"/>
      <c r="L49" s="8"/>
      <c r="M49" s="492" t="str">
        <f>M47</f>
        <v/>
      </c>
      <c r="N49" s="530"/>
      <c r="O49" s="312"/>
      <c r="P49" s="313"/>
      <c r="Q49" s="313"/>
      <c r="R49" s="313"/>
      <c r="S49" s="313"/>
      <c r="T49" s="313"/>
      <c r="U49" s="313"/>
      <c r="V49" s="313"/>
      <c r="W49" s="313"/>
      <c r="X49" s="313"/>
      <c r="Y49" s="313"/>
      <c r="Z49" s="313"/>
      <c r="AA49" s="314"/>
    </row>
    <row r="50" spans="2:27" ht="18" customHeight="1" x14ac:dyDescent="0.35">
      <c r="B50" s="534" t="s">
        <v>350</v>
      </c>
      <c r="C50" s="535"/>
      <c r="D50" s="535"/>
      <c r="E50" s="535"/>
      <c r="F50" s="535"/>
      <c r="G50" s="92">
        <f>GravCalcs!B17</f>
        <v>77.315427678272371</v>
      </c>
      <c r="H50" s="100" t="str">
        <f>GravCalcs!B18</f>
        <v>(Good)</v>
      </c>
      <c r="I50" s="601" t="s">
        <v>737</v>
      </c>
      <c r="J50" s="602"/>
      <c r="K50" s="602"/>
      <c r="L50" s="602"/>
      <c r="M50" s="283">
        <f xml:space="preserve"> ((76.08 * ((GravCalcs!J23+1)-(GravCalcs!O23+1)) / (1.775-(GravCalcs!J23+1))) * ((GravCalcs!O23+1) / 0.794))/100</f>
        <v>6.5680546617751759E-2</v>
      </c>
      <c r="N50" s="111" t="str">
        <f>IF(STYLES!Q8&lt;STYLES!N8, "(Low)", IF(STYLES!Q8&gt;STYLES!O8, "(High)", ""))</f>
        <v/>
      </c>
      <c r="O50" s="513" t="s">
        <v>843</v>
      </c>
      <c r="P50" s="514"/>
      <c r="Q50" s="585" t="str">
        <f>IF(Water!AG34="Y", Water!AC41, "")</f>
        <v>8.69 ml Phosphoric Acid or 0.79 ml Lactic Acid</v>
      </c>
      <c r="R50" s="585"/>
      <c r="S50" s="585"/>
      <c r="T50" s="585"/>
      <c r="U50" s="585"/>
      <c r="V50" s="585"/>
      <c r="W50" s="585"/>
      <c r="X50" s="585"/>
      <c r="Y50" s="585"/>
      <c r="Z50" s="585"/>
      <c r="AA50" s="586"/>
    </row>
    <row r="51" spans="2:27" x14ac:dyDescent="0.25">
      <c r="B51" s="610" t="str">
        <f>CONCATENATE("(@", IF(Brewhouse!V17="METRIC",ROUND('Total H2O Sub'!D23*3.78541,2),ROUND('Total H2O Sub'!D23,2)), IF(Brewhouse!V17="METRIC", " l)", " Gal)" )         )</f>
        <v>(@6.21 Gal)</v>
      </c>
      <c r="C51" s="611"/>
      <c r="D51" s="592" t="str">
        <f>IF(Brewhouse!AA17="Plato", "Predicted Pre-Boil Plato:", "Predicted Pre-Boil OG:")</f>
        <v>Predicted Pre-Boil OG:</v>
      </c>
      <c r="E51" s="592"/>
      <c r="F51" s="592"/>
      <c r="G51" s="303">
        <f>IF(Brewhouse!AA17="Plato", GravCalcs!K22, 1+GravCalcs!J22)</f>
        <v>1.0514331718309859</v>
      </c>
      <c r="H51" s="109" t="str">
        <f>H52</f>
        <v/>
      </c>
      <c r="I51" s="513" t="str">
        <f>IF(Brewhouse!O32="Rager", "Predicted Standard Rager IBUs:", "Predicted Standard Tinseth IBUs:")</f>
        <v>Predicted Standard Tinseth IBUs:</v>
      </c>
      <c r="J51" s="514"/>
      <c r="K51" s="514"/>
      <c r="L51" s="514"/>
      <c r="M51" s="61">
        <f xml:space="preserve">  IF(Brewhouse!O32= "Rager", HopCalc!Z20,  HopCalc!T20)</f>
        <v>42.311974321564179</v>
      </c>
      <c r="N51" s="111" t="str">
        <f>IF(M51&lt;STYLES!N10, "(Low)", IF(M51&gt;STYLES!O10, "(High)", ""))</f>
        <v/>
      </c>
      <c r="O51" s="312"/>
      <c r="P51" s="313"/>
      <c r="Q51" s="315"/>
      <c r="R51" s="315"/>
      <c r="S51" s="315"/>
      <c r="T51" s="315"/>
      <c r="U51" s="315"/>
      <c r="V51" s="315"/>
      <c r="W51" s="315"/>
      <c r="X51" s="315"/>
      <c r="Y51" s="315"/>
      <c r="Z51" s="315"/>
      <c r="AA51" s="316"/>
    </row>
    <row r="52" spans="2:27" ht="15" customHeight="1" x14ac:dyDescent="0.25">
      <c r="B52" s="610" t="str">
        <f>CONCATENATE("(@", IF(Brewhouse!V17="METRIC",ROUND('Total H2O Sub'!D27*3.78541,2),ROUND('Total H2O Sub'!D27,2)), IF(Brewhouse!V17="METRIC", " l)", " Gal)" )         )</f>
        <v>(@5.01 Gal)</v>
      </c>
      <c r="C52" s="611"/>
      <c r="D52" s="514" t="str">
        <f>IF(Brewhouse!AA17="Plato", "Predicted Post-Boil Plato:", "Predicted Post-Boil OG:")</f>
        <v>Predicted Post-Boil OG:</v>
      </c>
      <c r="E52" s="514"/>
      <c r="F52" s="514"/>
      <c r="G52" s="303">
        <f>IF(Brewhouse!AA17="Plato", GravCalcs!K23, 1+GravCalcs!J23)</f>
        <v>1.0637463501246882</v>
      </c>
      <c r="H52" s="109" t="str">
        <f>IF((GravCalcs!J23+1)&lt;STYLES!N4, "(Low)", IF((GravCalcs!J23+1)&gt;STYLES!O4, "(High)", ""))</f>
        <v/>
      </c>
      <c r="I52" s="513" t="str">
        <f>IF(Brewhouse!O32="Rager", "Modified Rager Model IBUs:", "Modified Tinseth Model IBUs:")</f>
        <v>Modified Tinseth Model IBUs:</v>
      </c>
      <c r="J52" s="514"/>
      <c r="K52" s="514"/>
      <c r="L52" s="514"/>
      <c r="M52" s="61">
        <f xml:space="preserve">  IF(Brewhouse!O32= "Rager", HopCalc!M39,  HopCalc!I39)</f>
        <v>50.453456409713979</v>
      </c>
      <c r="N52" s="111" t="str">
        <f>IF(M52&lt;STYLES!N12, "(Low)", IF(M52&gt;STYLES!O12, "(High)", ""))</f>
        <v/>
      </c>
      <c r="O52" s="513" t="s">
        <v>845</v>
      </c>
      <c r="P52" s="514"/>
      <c r="Q52" s="596" t="str">
        <f>CONCATENATE(Water!F39, Water!H39, Water!J39, Water!L39, Water!N39, Water!P39, Water!R39)</f>
        <v/>
      </c>
      <c r="R52" s="596"/>
      <c r="S52" s="596"/>
      <c r="T52" s="596"/>
      <c r="U52" s="596"/>
      <c r="V52" s="596"/>
      <c r="W52" s="596"/>
      <c r="X52" s="596"/>
      <c r="Y52" s="596"/>
      <c r="Z52" s="596"/>
      <c r="AA52" s="597"/>
    </row>
    <row r="53" spans="2:27" x14ac:dyDescent="0.25">
      <c r="B53" s="513" t="s">
        <v>149</v>
      </c>
      <c r="C53" s="514"/>
      <c r="D53" s="514"/>
      <c r="E53" s="514"/>
      <c r="F53" s="514"/>
      <c r="G53" s="30">
        <f>GravCalcs!L24</f>
        <v>0.75295654860852645</v>
      </c>
      <c r="H53" s="4"/>
      <c r="I53" s="513" t="s">
        <v>263</v>
      </c>
      <c r="J53" s="514"/>
      <c r="K53" s="514"/>
      <c r="L53" s="514"/>
      <c r="M53" s="61">
        <f>GravCalcs!D21</f>
        <v>18.0441012056937</v>
      </c>
      <c r="N53" s="111" t="str">
        <f>IF(M53&lt;STYLES!N14, "(Low)", IF(M53&gt;STYLES!O14, "(High)", ""))</f>
        <v>(High)</v>
      </c>
      <c r="O53" s="312"/>
      <c r="P53" s="313"/>
      <c r="Q53" s="596"/>
      <c r="R53" s="596"/>
      <c r="S53" s="596"/>
      <c r="T53" s="596"/>
      <c r="U53" s="596"/>
      <c r="V53" s="596"/>
      <c r="W53" s="596"/>
      <c r="X53" s="596"/>
      <c r="Y53" s="596"/>
      <c r="Z53" s="596"/>
      <c r="AA53" s="597"/>
    </row>
    <row r="54" spans="2:27" x14ac:dyDescent="0.25">
      <c r="B54" s="513" t="str">
        <f>IF(Brewhouse!AA17="Plato", "Predicted Final Plato:", "Predicted FG:")</f>
        <v>Predicted FG:</v>
      </c>
      <c r="C54" s="514"/>
      <c r="D54" s="514"/>
      <c r="E54" s="514"/>
      <c r="F54" s="514"/>
      <c r="G54" s="303">
        <f>IF(Brewhouse!AA17="Plato", GravCalcs!O24,  1+GravCalcs!O23)</f>
        <v>1.0157481183484123</v>
      </c>
      <c r="H54" s="109" t="str">
        <f>IF((GravCalcs!O23+1)&lt;STYLES!N6, "(Low)", IF((GravCalcs!O23+1)&gt;STYLES!O6, "(High)", ""))</f>
        <v/>
      </c>
      <c r="I54" s="513" t="s">
        <v>295</v>
      </c>
      <c r="J54" s="514"/>
      <c r="K54" s="514"/>
      <c r="L54" s="514"/>
      <c r="M54" s="61">
        <f>O2andLagerCalc!C9</f>
        <v>72.775905021759272</v>
      </c>
      <c r="N54" s="111"/>
      <c r="O54" s="534" t="s">
        <v>1038</v>
      </c>
      <c r="P54" s="535"/>
      <c r="Q54" s="535"/>
      <c r="R54" s="334">
        <f>M51/((G52-1)*1000)</f>
        <v>0.66375524620314297</v>
      </c>
      <c r="S54" s="332"/>
      <c r="T54" s="332"/>
      <c r="U54" s="332"/>
      <c r="V54" s="332"/>
      <c r="W54" s="332"/>
      <c r="X54" s="332"/>
      <c r="Y54" s="332"/>
      <c r="Z54" s="332"/>
      <c r="AA54" s="333"/>
    </row>
    <row r="55" spans="2:27" x14ac:dyDescent="0.25">
      <c r="B55" s="594" t="s">
        <v>736</v>
      </c>
      <c r="C55" s="595"/>
      <c r="D55" s="595"/>
      <c r="E55" s="595"/>
      <c r="F55" s="595"/>
      <c r="G55" s="91">
        <f>(131.25*((GravCalcs!J23+1)-((GravCalcs!O23+1))))/100</f>
        <v>6.2997679206362164E-2</v>
      </c>
      <c r="H55" s="110" t="str">
        <f>IF(STYLES!M8&lt;STYLES!N8, "(Low)", IF(STYLES!M8&gt;STYLES!O8, "(High)", ""))</f>
        <v/>
      </c>
      <c r="I55" s="594" t="s">
        <v>297</v>
      </c>
      <c r="J55" s="595"/>
      <c r="K55" s="595"/>
      <c r="L55" s="595"/>
      <c r="M55" s="93" t="str">
        <f>O2andLagerCalc!C12</f>
        <v>N/A</v>
      </c>
      <c r="N55" s="112"/>
      <c r="O55" s="594" t="s">
        <v>1039</v>
      </c>
      <c r="P55" s="595"/>
      <c r="Q55" s="595"/>
      <c r="R55" s="51">
        <f>M52/((G52-1)*1000)</f>
        <v>0.79147208131958524</v>
      </c>
      <c r="S55" s="8"/>
      <c r="T55" s="8"/>
      <c r="U55" s="8"/>
      <c r="V55" s="8"/>
      <c r="W55" s="8"/>
      <c r="X55" s="8"/>
      <c r="Y55" s="8"/>
      <c r="Z55" s="8"/>
      <c r="AA55" s="9"/>
    </row>
    <row r="56" spans="2:27" x14ac:dyDescent="0.25">
      <c r="B56" s="514"/>
      <c r="C56" s="514"/>
      <c r="D56" s="514"/>
      <c r="E56" s="514"/>
      <c r="F56" s="514"/>
      <c r="G56" s="60"/>
      <c r="H56" s="4"/>
      <c r="I56" s="4"/>
      <c r="J56" s="4"/>
      <c r="K56" s="4"/>
      <c r="L56" s="4"/>
      <c r="M56" s="4"/>
    </row>
    <row r="57" spans="2:27" x14ac:dyDescent="0.25">
      <c r="F57" s="1"/>
    </row>
    <row r="58" spans="2:27" x14ac:dyDescent="0.25">
      <c r="F58" s="1"/>
    </row>
  </sheetData>
  <dataConsolidate/>
  <mergeCells count="177">
    <mergeCell ref="B37:G37"/>
    <mergeCell ref="B44:D45"/>
    <mergeCell ref="B42:F42"/>
    <mergeCell ref="I55:L55"/>
    <mergeCell ref="I53:L53"/>
    <mergeCell ref="E44:L44"/>
    <mergeCell ref="E45:L45"/>
    <mergeCell ref="H42:I42"/>
    <mergeCell ref="B55:F55"/>
    <mergeCell ref="B51:C51"/>
    <mergeCell ref="B47:D47"/>
    <mergeCell ref="B54:F54"/>
    <mergeCell ref="B50:F50"/>
    <mergeCell ref="D52:F52"/>
    <mergeCell ref="B53:F53"/>
    <mergeCell ref="B52:C52"/>
    <mergeCell ref="B46:D46"/>
    <mergeCell ref="B41:F41"/>
    <mergeCell ref="J35:K35"/>
    <mergeCell ref="J31:K31"/>
    <mergeCell ref="J34:K34"/>
    <mergeCell ref="J36:K36"/>
    <mergeCell ref="N32:O32"/>
    <mergeCell ref="N31:O31"/>
    <mergeCell ref="O55:Q55"/>
    <mergeCell ref="O52:P52"/>
    <mergeCell ref="Q52:AA53"/>
    <mergeCell ref="O46:P46"/>
    <mergeCell ref="Q46:AA48"/>
    <mergeCell ref="O50:P50"/>
    <mergeCell ref="O54:Q54"/>
    <mergeCell ref="N36:O36"/>
    <mergeCell ref="P34:Q34"/>
    <mergeCell ref="N35:O35"/>
    <mergeCell ref="I52:L52"/>
    <mergeCell ref="M47:N47"/>
    <mergeCell ref="M49:N49"/>
    <mergeCell ref="I50:L50"/>
    <mergeCell ref="I54:L54"/>
    <mergeCell ref="S36:X36"/>
    <mergeCell ref="X44:Z44"/>
    <mergeCell ref="P42:R42"/>
    <mergeCell ref="B56:F56"/>
    <mergeCell ref="E46:F46"/>
    <mergeCell ref="E47:F47"/>
    <mergeCell ref="D49:F49"/>
    <mergeCell ref="P21:Q21"/>
    <mergeCell ref="P23:Q23"/>
    <mergeCell ref="P24:Q24"/>
    <mergeCell ref="N33:O33"/>
    <mergeCell ref="Q50:AA50"/>
    <mergeCell ref="X26:Y26"/>
    <mergeCell ref="J21:K21"/>
    <mergeCell ref="D22:G22"/>
    <mergeCell ref="J23:K23"/>
    <mergeCell ref="X27:Y27"/>
    <mergeCell ref="X21:Y21"/>
    <mergeCell ref="X22:Y22"/>
    <mergeCell ref="X23:Y23"/>
    <mergeCell ref="X24:Y24"/>
    <mergeCell ref="X25:Y25"/>
    <mergeCell ref="H41:I41"/>
    <mergeCell ref="M42:N42"/>
    <mergeCell ref="B49:C49"/>
    <mergeCell ref="I51:L51"/>
    <mergeCell ref="D51:F51"/>
    <mergeCell ref="J22:K22"/>
    <mergeCell ref="D20:G20"/>
    <mergeCell ref="P13:Q13"/>
    <mergeCell ref="P14:Q14"/>
    <mergeCell ref="P15:Q15"/>
    <mergeCell ref="P16:Q16"/>
    <mergeCell ref="J15:K15"/>
    <mergeCell ref="D16:G16"/>
    <mergeCell ref="D18:G18"/>
    <mergeCell ref="D17:G17"/>
    <mergeCell ref="M8:P8"/>
    <mergeCell ref="H3:K3"/>
    <mergeCell ref="H2:K2"/>
    <mergeCell ref="M5:P5"/>
    <mergeCell ref="M6:P6"/>
    <mergeCell ref="B2:F2"/>
    <mergeCell ref="B5:F5"/>
    <mergeCell ref="H8:K8"/>
    <mergeCell ref="H9:K9"/>
    <mergeCell ref="B9:F9"/>
    <mergeCell ref="X2:AA2"/>
    <mergeCell ref="X3:AA3"/>
    <mergeCell ref="X16:Y16"/>
    <mergeCell ref="X17:Y17"/>
    <mergeCell ref="X18:Y18"/>
    <mergeCell ref="B36:D36"/>
    <mergeCell ref="B35:D35"/>
    <mergeCell ref="J27:K27"/>
    <mergeCell ref="B33:D33"/>
    <mergeCell ref="B34:D34"/>
    <mergeCell ref="J32:K32"/>
    <mergeCell ref="B3:F3"/>
    <mergeCell ref="M2:P2"/>
    <mergeCell ref="M3:P3"/>
    <mergeCell ref="H6:K6"/>
    <mergeCell ref="H5:K5"/>
    <mergeCell ref="J33:K33"/>
    <mergeCell ref="D24:G24"/>
    <mergeCell ref="D19:G19"/>
    <mergeCell ref="P32:Q32"/>
    <mergeCell ref="J25:K25"/>
    <mergeCell ref="B6:F6"/>
    <mergeCell ref="M9:P9"/>
    <mergeCell ref="B8:F8"/>
    <mergeCell ref="B32:D32"/>
    <mergeCell ref="J28:L28"/>
    <mergeCell ref="J20:K20"/>
    <mergeCell ref="B30:L30"/>
    <mergeCell ref="C27:G27"/>
    <mergeCell ref="D25:G25"/>
    <mergeCell ref="D26:G26"/>
    <mergeCell ref="B11:H11"/>
    <mergeCell ref="P12:Q12"/>
    <mergeCell ref="D15:G15"/>
    <mergeCell ref="D21:G21"/>
    <mergeCell ref="D23:G23"/>
    <mergeCell ref="B31:D31"/>
    <mergeCell ref="D12:G12"/>
    <mergeCell ref="D13:G13"/>
    <mergeCell ref="D14:G14"/>
    <mergeCell ref="J13:K13"/>
    <mergeCell ref="P18:Q18"/>
    <mergeCell ref="P20:Q20"/>
    <mergeCell ref="P19:Q19"/>
    <mergeCell ref="P25:Q25"/>
    <mergeCell ref="P26:Q26"/>
    <mergeCell ref="J19:K19"/>
    <mergeCell ref="J26:K26"/>
    <mergeCell ref="AG11:AG12"/>
    <mergeCell ref="J11:R11"/>
    <mergeCell ref="N30:AA30"/>
    <mergeCell ref="P31:Q31"/>
    <mergeCell ref="J12:K12"/>
    <mergeCell ref="J14:K14"/>
    <mergeCell ref="J16:K16"/>
    <mergeCell ref="J17:K17"/>
    <mergeCell ref="J18:K18"/>
    <mergeCell ref="P17:Q17"/>
    <mergeCell ref="P27:Q27"/>
    <mergeCell ref="P28:Q28"/>
    <mergeCell ref="X15:Y15"/>
    <mergeCell ref="X20:Y20"/>
    <mergeCell ref="S31:X31"/>
    <mergeCell ref="AF30:AF31"/>
    <mergeCell ref="AF11:AF12"/>
    <mergeCell ref="X11:AA11"/>
    <mergeCell ref="X12:Y12"/>
    <mergeCell ref="X13:Y13"/>
    <mergeCell ref="X14:Y14"/>
    <mergeCell ref="X19:Y19"/>
    <mergeCell ref="P22:Q22"/>
    <mergeCell ref="J24:K24"/>
    <mergeCell ref="S32:X32"/>
    <mergeCell ref="S33:X33"/>
    <mergeCell ref="S34:X34"/>
    <mergeCell ref="Y40:Z40"/>
    <mergeCell ref="X41:Z41"/>
    <mergeCell ref="S35:X35"/>
    <mergeCell ref="X38:AA38"/>
    <mergeCell ref="Y39:Z39"/>
    <mergeCell ref="X42:Z42"/>
    <mergeCell ref="X43:Z43"/>
    <mergeCell ref="P41:R41"/>
    <mergeCell ref="M41:N41"/>
    <mergeCell ref="M46:N46"/>
    <mergeCell ref="P33:Q33"/>
    <mergeCell ref="P36:Q36"/>
    <mergeCell ref="N34:O34"/>
    <mergeCell ref="M44:N44"/>
    <mergeCell ref="M45:N45"/>
    <mergeCell ref="P35:Q35"/>
  </mergeCells>
  <conditionalFormatting sqref="J32:K36 M42:N42 B27 P13:Q27">
    <cfRule type="containsBlanks" dxfId="43" priority="76" stopIfTrue="1">
      <formula>LEN(TRIM(B13))=0</formula>
    </cfRule>
  </conditionalFormatting>
  <conditionalFormatting sqref="D13:D26">
    <cfRule type="cellIs" dxfId="42" priority="64" operator="equal">
      <formula>"---Select Grain/Fermentable---"</formula>
    </cfRule>
  </conditionalFormatting>
  <conditionalFormatting sqref="N32:O36 J13:K16 J18:K27 B32:D36">
    <cfRule type="cellIs" dxfId="41" priority="63" operator="equal">
      <formula>"---Select Hop---"</formula>
    </cfRule>
  </conditionalFormatting>
  <conditionalFormatting sqref="G52">
    <cfRule type="expression" dxfId="40" priority="8">
      <formula>IF(W9="Plato", TRUE, FALSE)</formula>
    </cfRule>
    <cfRule type="expression" dxfId="39" priority="30">
      <formula>IF(G41="BAD", TRUE, FALSE)</formula>
    </cfRule>
  </conditionalFormatting>
  <conditionalFormatting sqref="G55">
    <cfRule type="expression" dxfId="38" priority="29">
      <formula>IF(O41="BAD", TRUE, FALSE)</formula>
    </cfRule>
  </conditionalFormatting>
  <conditionalFormatting sqref="M51">
    <cfRule type="expression" dxfId="37" priority="28">
      <formula>IF(O42="BAD", TRUE, FALSE)</formula>
    </cfRule>
  </conditionalFormatting>
  <conditionalFormatting sqref="M52">
    <cfRule type="expression" dxfId="36" priority="27">
      <formula>IF(M30="BAD", TRUE, FALSE)</formula>
    </cfRule>
  </conditionalFormatting>
  <conditionalFormatting sqref="M53">
    <cfRule type="expression" dxfId="35" priority="26">
      <formula>IF(M31="BAD", TRUE, FALSE)</formula>
    </cfRule>
  </conditionalFormatting>
  <conditionalFormatting sqref="H50">
    <cfRule type="expression" dxfId="34" priority="23">
      <formula>IF(G50&lt;25, TRUE, FALSE)</formula>
    </cfRule>
    <cfRule type="expression" dxfId="33" priority="24">
      <formula>IF(G50&lt;35, TRUE, FALSE)</formula>
    </cfRule>
  </conditionalFormatting>
  <conditionalFormatting sqref="H51">
    <cfRule type="expression" dxfId="32" priority="22">
      <formula>IF(G41="BAD", TRUE, FALSE)</formula>
    </cfRule>
  </conditionalFormatting>
  <conditionalFormatting sqref="H52">
    <cfRule type="expression" dxfId="31" priority="21">
      <formula>IF(G41="BAD", TRUE, FALSE)</formula>
    </cfRule>
  </conditionalFormatting>
  <conditionalFormatting sqref="H54">
    <cfRule type="expression" dxfId="30" priority="20">
      <formula>IF(G42="BAD", TRUE, FALSE)</formula>
    </cfRule>
  </conditionalFormatting>
  <conditionalFormatting sqref="H55">
    <cfRule type="expression" dxfId="29" priority="19">
      <formula>IF(O41="BAD", TRUE, FALSE)</formula>
    </cfRule>
  </conditionalFormatting>
  <conditionalFormatting sqref="N51">
    <cfRule type="expression" dxfId="28" priority="18">
      <formula>IF(O42="BAD", TRUE, FALSE)</formula>
    </cfRule>
  </conditionalFormatting>
  <conditionalFormatting sqref="N52">
    <cfRule type="expression" dxfId="27" priority="17">
      <formula>IF(M30="BAD", TRUE, FALSE)</formula>
    </cfRule>
  </conditionalFormatting>
  <conditionalFormatting sqref="N53">
    <cfRule type="expression" dxfId="26" priority="16">
      <formula>IF(M31="BAD", TRUE, FALSE)</formula>
    </cfRule>
  </conditionalFormatting>
  <conditionalFormatting sqref="H42:I42">
    <cfRule type="expression" dxfId="25" priority="14" stopIfTrue="1">
      <formula>IF(H42&gt;0, IF(J42&gt;0, TRUE, FALSE), FALSE)</formula>
    </cfRule>
  </conditionalFormatting>
  <conditionalFormatting sqref="J42">
    <cfRule type="expression" dxfId="24" priority="13" stopIfTrue="1">
      <formula>IF(H42&gt;0, IF(J42&gt;0, TRUE, FALSE), FALSE)</formula>
    </cfRule>
  </conditionalFormatting>
  <conditionalFormatting sqref="N50">
    <cfRule type="expression" dxfId="23" priority="12" stopIfTrue="1">
      <formula>IF(O37="BAD", TRUE, FALSE)</formula>
    </cfRule>
  </conditionalFormatting>
  <conditionalFormatting sqref="M50">
    <cfRule type="expression" dxfId="22" priority="11" stopIfTrue="1">
      <formula>IF(O37="BAD", TRUE, FALSE)</formula>
    </cfRule>
  </conditionalFormatting>
  <conditionalFormatting sqref="G54">
    <cfRule type="expression" dxfId="21" priority="72">
      <formula>IF(W9="Plato", TRUE, FALSE)</formula>
    </cfRule>
    <cfRule type="expression" dxfId="20" priority="73">
      <formula>IF(G42="BAD", TRUE, FALSE)</formula>
    </cfRule>
  </conditionalFormatting>
  <conditionalFormatting sqref="G51">
    <cfRule type="expression" dxfId="19" priority="74">
      <formula>IF(W9="Plato", TRUE, FALSE)</formula>
    </cfRule>
    <cfRule type="expression" dxfId="18" priority="75">
      <formula>IF(G41="BAD", TRUE, FALSE)</formula>
    </cfRule>
  </conditionalFormatting>
  <conditionalFormatting sqref="B46:D46">
    <cfRule type="expression" dxfId="17" priority="4" stopIfTrue="1">
      <formula>IF(B46="Tun Capacity Exceeded", TRUE, FALSE)</formula>
    </cfRule>
  </conditionalFormatting>
  <conditionalFormatting sqref="B47:D47">
    <cfRule type="expression" dxfId="16" priority="3" stopIfTrue="1">
      <formula>IF(B47="Single Sparge Overflow", TRUE, FALSE)</formula>
    </cfRule>
  </conditionalFormatting>
  <conditionalFormatting sqref="B49:C49">
    <cfRule type="expression" dxfId="15" priority="2" stopIfTrue="1">
      <formula>IF(B49="Overflow", TRUE, FALSE)</formula>
    </cfRule>
  </conditionalFormatting>
  <conditionalFormatting sqref="J17:K17">
    <cfRule type="cellIs" dxfId="14" priority="1" operator="equal">
      <formula>"---Select Hop---"</formula>
    </cfRule>
  </conditionalFormatting>
  <dataValidations count="13">
    <dataValidation type="list" showInputMessage="1" showErrorMessage="1" errorTitle="Invalid Yeast Strain" error="Please Select Yeast Strain from the Dropdown List" sqref="B42:F42" xr:uid="{00000000-0002-0000-0200-000000000000}">
      <formula1>ValidYeast</formula1>
    </dataValidation>
    <dataValidation type="list" showInputMessage="1" showErrorMessage="1" errorTitle="Invalid Hop" error="Please select Hop from Dropdown List" sqref="N32:O36 B32:D36 J13:K13" xr:uid="{00000000-0002-0000-0200-000001000000}">
      <formula1>ValidHops</formula1>
    </dataValidation>
    <dataValidation type="decimal" showInputMessage="1" showErrorMessage="1" errorTitle="Invalid Input" error="Value must be numeric, between 0 and 50." sqref="J32:K36 B28:C28 P13:Q27" xr:uid="{00000000-0002-0000-0200-000002000000}">
      <formula1>0</formula1>
      <formula2>50</formula2>
    </dataValidation>
    <dataValidation type="list" showInputMessage="1" showErrorMessage="1" errorTitle="Invalid Entry" error="Selec Valid Percentage from Dropdown" sqref="M42:N42" xr:uid="{00000000-0002-0000-0200-000003000000}">
      <formula1>ViabilityOverrideDropdown</formula1>
    </dataValidation>
    <dataValidation type="whole" allowBlank="1" showInputMessage="1" showErrorMessage="1" error="Please enter the number of milliliters of slurry, between 10 and 50,000." sqref="J42" xr:uid="{00000000-0002-0000-0200-000004000000}">
      <formula1>10</formula1>
      <formula2>9999999999999990000</formula2>
    </dataValidation>
    <dataValidation type="list" showInputMessage="1" showErrorMessage="1" errorTitle="Invalid Ingredient" error="Please Select Ingredient from the Dropdown Box" sqref="D13:G26" xr:uid="{00000000-0002-0000-0200-000005000000}">
      <formula1>ValidGrains</formula1>
    </dataValidation>
    <dataValidation type="list" showInputMessage="1" showErrorMessage="1" errorTitle="Invalid Hop" error="Please select hop from dropdown list" sqref="J14:K27" xr:uid="{00000000-0002-0000-0200-000006000000}">
      <formula1>ValidHops</formula1>
    </dataValidation>
    <dataValidation type="list" allowBlank="1" showInputMessage="1" showErrorMessage="1" errorTitle="Invalid Mash Time" error="Please select a mash time from the dropdown list" sqref="M3:P3" xr:uid="{00000000-0002-0000-0200-000007000000}">
      <formula1>ValidMashTimes</formula1>
    </dataValidation>
    <dataValidation type="list" showInputMessage="1" showErrorMessage="1" sqref="H9:K9" xr:uid="{00000000-0002-0000-0200-000008000000}">
      <formula1>ValidStyles</formula1>
    </dataValidation>
    <dataValidation type="decimal" showInputMessage="1" showErrorMessage="1" errorTitle="Invalid Input" error="Value must be numeric, between 0 and 50." sqref="B27" xr:uid="{00000000-0002-0000-0200-000009000000}">
      <formula1>0</formula1>
      <formula2>100</formula2>
    </dataValidation>
    <dataValidation type="list" allowBlank="1" showInputMessage="1" showErrorMessage="1" sqref="S32:X36" xr:uid="{00000000-0002-0000-0200-00000A000000}">
      <formula1>Lrange</formula1>
    </dataValidation>
    <dataValidation type="list" showInputMessage="1" showErrorMessage="1" sqref="AA32:AA36" xr:uid="{00000000-0002-0000-0200-00000B000000}">
      <formula1>Drange</formula1>
    </dataValidation>
    <dataValidation type="list" showInputMessage="1" showErrorMessage="1" sqref="P32:Q36 E32:E36 L13:L27" xr:uid="{00000000-0002-0000-0200-00000C000000}">
      <formula1>Hrange</formula1>
    </dataValidation>
  </dataValidations>
  <pageMargins left="0.7" right="0.7" top="0.75" bottom="0.75" header="0.3" footer="0.3"/>
  <pageSetup scale="61" orientation="landscape" r:id="rId1"/>
  <ignoredErrors>
    <ignoredError sqref="C13 C14:C26"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1054" r:id="rId4" name="Button 30">
              <controlPr defaultSize="0" print="0" autoFill="0" autoPict="0" macro="[0]!Macro1">
                <anchor moveWithCells="1" sizeWithCells="1">
                  <from>
                    <xdr:col>5</xdr:col>
                    <xdr:colOff>9525</xdr:colOff>
                    <xdr:row>27</xdr:row>
                    <xdr:rowOff>9525</xdr:rowOff>
                  </from>
                  <to>
                    <xdr:col>6</xdr:col>
                    <xdr:colOff>0</xdr:colOff>
                    <xdr:row>28</xdr:row>
                    <xdr:rowOff>0</xdr:rowOff>
                  </to>
                </anchor>
              </controlPr>
            </control>
          </mc:Choice>
        </mc:AlternateContent>
        <mc:AlternateContent xmlns:mc="http://schemas.openxmlformats.org/markup-compatibility/2006">
          <mc:Choice Requires="x14">
            <control shapeId="1429" r:id="rId5" name="Button 405">
              <controlPr defaultSize="0" print="0" autoFill="0" autoPict="0" macro="[0]!BoilHops">
                <anchor moveWithCells="1" sizeWithCells="1">
                  <from>
                    <xdr:col>13</xdr:col>
                    <xdr:colOff>9525</xdr:colOff>
                    <xdr:row>27</xdr:row>
                    <xdr:rowOff>9525</xdr:rowOff>
                  </from>
                  <to>
                    <xdr:col>14</xdr:col>
                    <xdr:colOff>0</xdr:colOff>
                    <xdr:row>28</xdr:row>
                    <xdr:rowOff>0</xdr:rowOff>
                  </to>
                </anchor>
              </controlPr>
            </control>
          </mc:Choice>
        </mc:AlternateContent>
        <mc:AlternateContent xmlns:mc="http://schemas.openxmlformats.org/markup-compatibility/2006">
          <mc:Choice Requires="x14">
            <control shapeId="1441" r:id="rId6" name="Button 417">
              <controlPr defaultSize="0" print="0" autoFill="0" autoPict="0" macro="[0]!ComboScale">
                <anchor moveWithCells="1" sizeWithCells="1">
                  <from>
                    <xdr:col>14</xdr:col>
                    <xdr:colOff>9525</xdr:colOff>
                    <xdr:row>27</xdr:row>
                    <xdr:rowOff>9525</xdr:rowOff>
                  </from>
                  <to>
                    <xdr:col>15</xdr:col>
                    <xdr:colOff>0</xdr:colOff>
                    <xdr:row>28</xdr:row>
                    <xdr:rowOff>0</xdr:rowOff>
                  </to>
                </anchor>
              </controlPr>
            </control>
          </mc:Choice>
        </mc:AlternateContent>
        <mc:AlternateContent xmlns:mc="http://schemas.openxmlformats.org/markup-compatibility/2006">
          <mc:Choice Requires="x14">
            <control shapeId="1442" r:id="rId7" name="Button 418">
              <controlPr defaultSize="0" print="0" autoFill="0" autoPict="0" macro="[0]!FOHops">
                <anchor moveWithCells="1" sizeWithCells="1">
                  <from>
                    <xdr:col>8</xdr:col>
                    <xdr:colOff>9525</xdr:colOff>
                    <xdr:row>36</xdr:row>
                    <xdr:rowOff>9525</xdr:rowOff>
                  </from>
                  <to>
                    <xdr:col>9</xdr:col>
                    <xdr:colOff>0</xdr:colOff>
                    <xdr:row>37</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rgb="FF00B050"/>
    <pageSetUpPr fitToPage="1"/>
  </sheetPr>
  <dimension ref="B1:AG44"/>
  <sheetViews>
    <sheetView showGridLines="0" showRowColHeaders="0" workbookViewId="0">
      <selection activeCell="W36" sqref="W36"/>
    </sheetView>
  </sheetViews>
  <sheetFormatPr defaultRowHeight="15" x14ac:dyDescent="0.25"/>
  <cols>
    <col min="1" max="1" width="2.85546875" customWidth="1"/>
    <col min="2" max="28" width="4.85546875" customWidth="1"/>
    <col min="29" max="29" width="7.7109375" customWidth="1"/>
    <col min="30" max="33" width="4.85546875" customWidth="1"/>
    <col min="36" max="36" width="9.140625" customWidth="1"/>
  </cols>
  <sheetData>
    <row r="1" spans="2:33" ht="9" customHeight="1" x14ac:dyDescent="0.25"/>
    <row r="2" spans="2:33" x14ac:dyDescent="0.25">
      <c r="B2" s="515" t="s">
        <v>491</v>
      </c>
      <c r="C2" s="668"/>
      <c r="D2" s="668"/>
      <c r="E2" s="668"/>
      <c r="F2" s="668"/>
      <c r="G2" s="668"/>
      <c r="H2" s="668"/>
      <c r="I2" s="668"/>
      <c r="J2" s="668"/>
      <c r="K2" s="668"/>
      <c r="L2" s="668"/>
      <c r="M2" s="669"/>
      <c r="O2" s="670" t="s">
        <v>702</v>
      </c>
      <c r="P2" s="671"/>
      <c r="Q2" s="256"/>
      <c r="R2" s="257"/>
      <c r="S2" s="636" t="s">
        <v>127</v>
      </c>
      <c r="T2" s="636"/>
      <c r="U2" s="636"/>
      <c r="V2" s="636"/>
      <c r="W2" s="636" t="s">
        <v>459</v>
      </c>
      <c r="X2" s="636"/>
      <c r="Y2" s="636"/>
      <c r="Z2" s="636"/>
    </row>
    <row r="3" spans="2:33" ht="18" x14ac:dyDescent="0.35">
      <c r="B3" s="636" t="s">
        <v>405</v>
      </c>
      <c r="C3" s="636"/>
      <c r="D3" s="636" t="s">
        <v>406</v>
      </c>
      <c r="E3" s="636"/>
      <c r="F3" s="636" t="s">
        <v>407</v>
      </c>
      <c r="G3" s="636"/>
      <c r="H3" s="636" t="s">
        <v>408</v>
      </c>
      <c r="I3" s="636"/>
      <c r="J3" s="636" t="s">
        <v>460</v>
      </c>
      <c r="K3" s="636"/>
      <c r="L3" s="636" t="s">
        <v>461</v>
      </c>
      <c r="M3" s="636"/>
      <c r="N3" s="260"/>
      <c r="O3" s="672"/>
      <c r="P3" s="673"/>
      <c r="Q3" s="256"/>
      <c r="R3" s="257"/>
      <c r="S3" s="636" t="str">
        <f>IF(Brewhouse!V17="Metric", "Liters", "Gallons")</f>
        <v>Gallons</v>
      </c>
      <c r="T3" s="636"/>
      <c r="U3" s="636" t="s">
        <v>462</v>
      </c>
      <c r="V3" s="636"/>
      <c r="W3" s="636" t="str">
        <f>S3</f>
        <v>Gallons</v>
      </c>
      <c r="X3" s="636"/>
      <c r="Y3" s="636" t="s">
        <v>462</v>
      </c>
      <c r="Z3" s="636"/>
      <c r="AB3" s="695" t="s">
        <v>957</v>
      </c>
      <c r="AC3" s="696"/>
      <c r="AD3" s="696"/>
      <c r="AE3" s="696"/>
      <c r="AF3" s="697"/>
      <c r="AG3" s="624" t="s">
        <v>302</v>
      </c>
    </row>
    <row r="4" spans="2:33" x14ac:dyDescent="0.25">
      <c r="B4" s="464">
        <v>16.600000000000001</v>
      </c>
      <c r="C4" s="466"/>
      <c r="D4" s="464">
        <v>1.6</v>
      </c>
      <c r="E4" s="466"/>
      <c r="F4" s="464">
        <v>3.2</v>
      </c>
      <c r="G4" s="466"/>
      <c r="H4" s="642">
        <v>2.5</v>
      </c>
      <c r="I4" s="642"/>
      <c r="J4" s="642">
        <v>12</v>
      </c>
      <c r="K4" s="642"/>
      <c r="L4" s="642">
        <v>43</v>
      </c>
      <c r="M4" s="642"/>
      <c r="N4" s="260"/>
      <c r="O4" s="674">
        <v>7.9</v>
      </c>
      <c r="P4" s="674"/>
      <c r="Q4" s="258"/>
      <c r="R4" s="259"/>
      <c r="S4" s="665">
        <f>IF(Brewhouse!V17="Metric", 'Total H2O Sub'!J24/0.264172051, 'Total H2O Sub'!J24)</f>
        <v>3.9186875000000003</v>
      </c>
      <c r="T4" s="666"/>
      <c r="U4" s="635">
        <v>0</v>
      </c>
      <c r="V4" s="635"/>
      <c r="W4" s="694">
        <f>IF(Brewhouse!V17="Metric", 'Total H2O Sub'!J25/0.264172051, 'Total H2O Sub'!J25)</f>
        <v>3.8610884999999997</v>
      </c>
      <c r="X4" s="521"/>
      <c r="Y4" s="635">
        <v>0</v>
      </c>
      <c r="Z4" s="635"/>
      <c r="AB4" s="698"/>
      <c r="AC4" s="699"/>
      <c r="AD4" s="699"/>
      <c r="AE4" s="699"/>
      <c r="AF4" s="700"/>
      <c r="AG4" s="625"/>
    </row>
    <row r="5" spans="2:33" ht="9" customHeight="1" x14ac:dyDescent="0.25"/>
    <row r="6" spans="2:33" ht="12" customHeight="1" x14ac:dyDescent="0.25">
      <c r="B6" s="667" t="s">
        <v>378</v>
      </c>
      <c r="C6" s="667"/>
      <c r="D6" s="667"/>
      <c r="E6" s="667"/>
      <c r="F6" s="667"/>
      <c r="G6" s="667"/>
      <c r="H6" s="667"/>
      <c r="I6" s="667"/>
      <c r="J6" s="667"/>
      <c r="K6" s="667"/>
      <c r="L6" s="667"/>
      <c r="M6" s="667"/>
      <c r="N6" s="667"/>
      <c r="O6" s="667"/>
      <c r="P6" s="667"/>
      <c r="Q6" s="667"/>
      <c r="R6" s="667"/>
      <c r="S6" s="667"/>
      <c r="T6" s="667"/>
      <c r="U6" s="667"/>
      <c r="V6" s="667"/>
    </row>
    <row r="7" spans="2:33" ht="27" customHeight="1" x14ac:dyDescent="0.25">
      <c r="B7" s="667" t="s">
        <v>54</v>
      </c>
      <c r="C7" s="667"/>
      <c r="D7" s="667"/>
      <c r="E7" s="667"/>
      <c r="F7" s="667"/>
      <c r="G7" s="667"/>
      <c r="H7" s="667" t="s">
        <v>463</v>
      </c>
      <c r="I7" s="667"/>
      <c r="J7" s="667"/>
      <c r="K7" s="667" t="s">
        <v>353</v>
      </c>
      <c r="L7" s="667"/>
      <c r="M7" s="644" t="str">
        <f>IF(Brewhouse!V17="Metric", "Kilograms", "Pounds")</f>
        <v>Pounds</v>
      </c>
      <c r="N7" s="644"/>
      <c r="O7" s="644" t="s">
        <v>464</v>
      </c>
      <c r="P7" s="644"/>
      <c r="Q7" s="644"/>
      <c r="R7" s="644" t="s">
        <v>465</v>
      </c>
      <c r="S7" s="644"/>
      <c r="T7" s="644"/>
      <c r="U7" s="644" t="s">
        <v>466</v>
      </c>
      <c r="V7" s="644"/>
    </row>
    <row r="8" spans="2:33" ht="12" customHeight="1" x14ac:dyDescent="0.25">
      <c r="B8" s="643" t="str">
        <f>IF(Mash_Chem!D6&lt;&gt;0, Mash_Chem!B6, "")</f>
        <v>Pale Ale Malt, Briess</v>
      </c>
      <c r="C8" s="643"/>
      <c r="D8" s="643"/>
      <c r="E8" s="643"/>
      <c r="F8" s="643"/>
      <c r="G8" s="643"/>
      <c r="H8" s="643">
        <f>IF(Mash_Chem!D6&lt;&gt;0, Mash_Chem!C6, "")</f>
        <v>3.5</v>
      </c>
      <c r="I8" s="643"/>
      <c r="J8" s="643"/>
      <c r="K8" s="643" t="str">
        <f>IF(Mash_Chem!D6&lt;&gt;0, Mash_Chem!D6, "")</f>
        <v>B</v>
      </c>
      <c r="L8" s="643"/>
      <c r="M8" s="645">
        <f>IF(Brewhouse!V17="Metric",  IF(Mash_Chem!D6&lt;&gt;0, Mash_Chem!E6*0.453592, ""), IF(Mash_Chem!D6&lt;&gt;0, Mash_Chem!E6, ""))</f>
        <v>10</v>
      </c>
      <c r="N8" s="643"/>
      <c r="O8" s="645">
        <f>IF(Mash_Chem!D6&lt;&gt;0, Mash_Chem!F6, "")</f>
        <v>0.79746088454361308</v>
      </c>
      <c r="P8" s="643"/>
      <c r="Q8" s="643"/>
      <c r="R8" s="643">
        <f>IF(Mash_Chem!D6&lt;&gt;0, Mash_Chem!G6, "")</f>
        <v>1.6</v>
      </c>
      <c r="S8" s="643"/>
      <c r="T8" s="643"/>
      <c r="U8" s="645">
        <f>IF(Mash_Chem!D6&lt;&gt;0, Mash_Chem!H6, "")</f>
        <v>1.2759374152697811</v>
      </c>
      <c r="V8" s="643"/>
    </row>
    <row r="9" spans="2:33" ht="12" customHeight="1" x14ac:dyDescent="0.25">
      <c r="B9" s="643" t="str">
        <f>IF(Mash_Chem!D7&lt;&gt;0, Mash_Chem!B7, "")</f>
        <v>Munich (9 srm)</v>
      </c>
      <c r="C9" s="643"/>
      <c r="D9" s="643"/>
      <c r="E9" s="643"/>
      <c r="F9" s="643"/>
      <c r="G9" s="643"/>
      <c r="H9" s="643">
        <f>IF(Mash_Chem!D7&lt;&gt;0, Mash_Chem!C7, "")</f>
        <v>9</v>
      </c>
      <c r="I9" s="643"/>
      <c r="J9" s="643"/>
      <c r="K9" s="643" t="str">
        <f>IF(Mash_Chem!D7&lt;&gt;0, Mash_Chem!D7, "")</f>
        <v>B</v>
      </c>
      <c r="L9" s="643"/>
      <c r="M9" s="645">
        <f>IF(Brewhouse!V17="Metric",  IF(Mash_Chem!D7&lt;&gt;0, Mash_Chem!E7*0.453592, ""), IF(Mash_Chem!D7&lt;&gt;0, Mash_Chem!E7, ""))</f>
        <v>1.66</v>
      </c>
      <c r="N9" s="643"/>
      <c r="O9" s="645">
        <f>IF(Mash_Chem!D7&lt;&gt;0, Mash_Chem!F7, "")</f>
        <v>0.13237850683423977</v>
      </c>
      <c r="P9" s="643"/>
      <c r="Q9" s="643"/>
      <c r="R9" s="643">
        <f>IF(Mash_Chem!D7&lt;&gt;0, Mash_Chem!G7, "")</f>
        <v>7.1</v>
      </c>
      <c r="S9" s="643"/>
      <c r="T9" s="643"/>
      <c r="U9" s="645">
        <f>IF(Mash_Chem!D7&lt;&gt;0, Mash_Chem!H7, "")</f>
        <v>0.93988739852310232</v>
      </c>
      <c r="V9" s="643"/>
    </row>
    <row r="10" spans="2:33" ht="12" customHeight="1" x14ac:dyDescent="0.25">
      <c r="B10" s="643" t="str">
        <f>IF(Mash_Chem!D8&lt;&gt;0, Mash_Chem!B8, "")</f>
        <v>British Dark Crystal 75/85L</v>
      </c>
      <c r="C10" s="643"/>
      <c r="D10" s="643"/>
      <c r="E10" s="643"/>
      <c r="F10" s="643"/>
      <c r="G10" s="643"/>
      <c r="H10" s="643">
        <f>IF(Mash_Chem!D8&lt;&gt;0, Mash_Chem!C8, "")</f>
        <v>80</v>
      </c>
      <c r="I10" s="643"/>
      <c r="J10" s="643"/>
      <c r="K10" s="643" t="str">
        <f>IF(Mash_Chem!D8&lt;&gt;0, Mash_Chem!D8, "")</f>
        <v>C</v>
      </c>
      <c r="L10" s="643"/>
      <c r="M10" s="645">
        <f>IF(Brewhouse!V17="Metric",  IF(Mash_Chem!D8&lt;&gt;0, Mash_Chem!E8*0.453592, ""), IF(Mash_Chem!D8&lt;&gt;0, Mash_Chem!E8, ""))</f>
        <v>0.62249999999999994</v>
      </c>
      <c r="N10" s="643"/>
      <c r="O10" s="645">
        <f>IF(Mash_Chem!D8&lt;&gt;0, Mash_Chem!F8, "")</f>
        <v>4.9641940062839909E-2</v>
      </c>
      <c r="P10" s="643"/>
      <c r="Q10" s="643"/>
      <c r="R10" s="643">
        <f>IF(Mash_Chem!D8&lt;&gt;0, Mash_Chem!G8, "")</f>
        <v>41.24</v>
      </c>
      <c r="S10" s="643"/>
      <c r="T10" s="643"/>
      <c r="U10" s="645">
        <f>IF(Mash_Chem!D8&lt;&gt;0, Mash_Chem!H8, "")</f>
        <v>2.0472336081915179</v>
      </c>
      <c r="V10" s="643"/>
    </row>
    <row r="11" spans="2:33" ht="12" customHeight="1" x14ac:dyDescent="0.25">
      <c r="B11" s="643" t="str">
        <f>IF(Mash_Chem!D9&lt;&gt;0, Mash_Chem!B9, "")</f>
        <v>Chocolate (US, 350 SRM)</v>
      </c>
      <c r="C11" s="643"/>
      <c r="D11" s="643"/>
      <c r="E11" s="643"/>
      <c r="F11" s="643"/>
      <c r="G11" s="643"/>
      <c r="H11" s="643">
        <f>IF(Mash_Chem!D9&lt;&gt;0, Mash_Chem!C9, "")</f>
        <v>350</v>
      </c>
      <c r="I11" s="643"/>
      <c r="J11" s="643"/>
      <c r="K11" s="643" t="str">
        <f>IF(Mash_Chem!D9&lt;&gt;0, Mash_Chem!D9, "")</f>
        <v>R</v>
      </c>
      <c r="L11" s="643"/>
      <c r="M11" s="645">
        <f>IF(Brewhouse!V17="Metric",  IF(Mash_Chem!D9&lt;&gt;0, Mash_Chem!E9*0.453592, ""), IF(Mash_Chem!D9&lt;&gt;0, Mash_Chem!E9, ""))</f>
        <v>0.25729999999999997</v>
      </c>
      <c r="N11" s="643"/>
      <c r="O11" s="645">
        <f>IF(Mash_Chem!D9&lt;&gt;0, Mash_Chem!F9, "")</f>
        <v>2.051866855930716E-2</v>
      </c>
      <c r="P11" s="643"/>
      <c r="Q11" s="643"/>
      <c r="R11" s="643">
        <f>IF(Mash_Chem!D9&lt;&gt;0, Mash_Chem!G9, "")</f>
        <v>42</v>
      </c>
      <c r="S11" s="643"/>
      <c r="T11" s="643"/>
      <c r="U11" s="645">
        <f>IF(Mash_Chem!D9&lt;&gt;0, Mash_Chem!H9, "")</f>
        <v>0.86178407949090075</v>
      </c>
      <c r="V11" s="643"/>
    </row>
    <row r="12" spans="2:33" ht="12" customHeight="1" x14ac:dyDescent="0.25">
      <c r="B12" s="643" t="str">
        <f>IF(Mash_Chem!D10&lt;&gt;0, Mash_Chem!B10, "")</f>
        <v/>
      </c>
      <c r="C12" s="643"/>
      <c r="D12" s="643"/>
      <c r="E12" s="643"/>
      <c r="F12" s="643"/>
      <c r="G12" s="643"/>
      <c r="H12" s="643" t="str">
        <f>IF(Mash_Chem!D10&lt;&gt;0, Mash_Chem!C10, "")</f>
        <v/>
      </c>
      <c r="I12" s="643"/>
      <c r="J12" s="643"/>
      <c r="K12" s="643" t="str">
        <f>IF(Mash_Chem!D10&lt;&gt;0, Mash_Chem!D10, "")</f>
        <v/>
      </c>
      <c r="L12" s="643"/>
      <c r="M12" s="645" t="str">
        <f>IF(Brewhouse!V17="Metric",  IF(Mash_Chem!D10&lt;&gt;0, Mash_Chem!E10*0.453592, ""), IF(Mash_Chem!D10&lt;&gt;0, Mash_Chem!E10, ""))</f>
        <v/>
      </c>
      <c r="N12" s="643"/>
      <c r="O12" s="645" t="str">
        <f>IF(Mash_Chem!D10&lt;&gt;0, Mash_Chem!F10, "")</f>
        <v/>
      </c>
      <c r="P12" s="643"/>
      <c r="Q12" s="643"/>
      <c r="R12" s="643" t="str">
        <f>IF(Mash_Chem!D10&lt;&gt;0, Mash_Chem!G10, "")</f>
        <v/>
      </c>
      <c r="S12" s="643"/>
      <c r="T12" s="643"/>
      <c r="U12" s="645" t="str">
        <f>IF(Mash_Chem!D10&lt;&gt;0, Mash_Chem!H10, "")</f>
        <v/>
      </c>
      <c r="V12" s="643"/>
    </row>
    <row r="13" spans="2:33" ht="12" customHeight="1" x14ac:dyDescent="0.25">
      <c r="B13" s="643" t="str">
        <f>IF(Mash_Chem!D11&lt;&gt;0, Mash_Chem!B11, "")</f>
        <v/>
      </c>
      <c r="C13" s="643"/>
      <c r="D13" s="643"/>
      <c r="E13" s="643"/>
      <c r="F13" s="643"/>
      <c r="G13" s="643"/>
      <c r="H13" s="643" t="str">
        <f>IF(Mash_Chem!D11&lt;&gt;0, Mash_Chem!C11, "")</f>
        <v/>
      </c>
      <c r="I13" s="643"/>
      <c r="J13" s="643"/>
      <c r="K13" s="643" t="str">
        <f>IF(Mash_Chem!D11&lt;&gt;0, Mash_Chem!D11, "")</f>
        <v/>
      </c>
      <c r="L13" s="643"/>
      <c r="M13" s="645" t="str">
        <f>IF(Brewhouse!V17="Metric",  IF(Mash_Chem!D11&lt;&gt;0, Mash_Chem!E11*0.453592, ""), IF(Mash_Chem!D11&lt;&gt;0, Mash_Chem!E11, ""))</f>
        <v/>
      </c>
      <c r="N13" s="643"/>
      <c r="O13" s="645" t="str">
        <f>IF(Mash_Chem!D11&lt;&gt;0, Mash_Chem!F11, "")</f>
        <v/>
      </c>
      <c r="P13" s="643"/>
      <c r="Q13" s="643"/>
      <c r="R13" s="643" t="str">
        <f>IF(Mash_Chem!D11&lt;&gt;0, Mash_Chem!G11, "")</f>
        <v/>
      </c>
      <c r="S13" s="643"/>
      <c r="T13" s="643"/>
      <c r="U13" s="645" t="str">
        <f>IF(Mash_Chem!D11&lt;&gt;0, Mash_Chem!H11, "")</f>
        <v/>
      </c>
      <c r="V13" s="643"/>
    </row>
    <row r="14" spans="2:33" ht="12" customHeight="1" x14ac:dyDescent="0.25">
      <c r="B14" s="643" t="str">
        <f>IF(Mash_Chem!D12&lt;&gt;0, Mash_Chem!B12, "")</f>
        <v/>
      </c>
      <c r="C14" s="643"/>
      <c r="D14" s="643"/>
      <c r="E14" s="643"/>
      <c r="F14" s="643"/>
      <c r="G14" s="643"/>
      <c r="H14" s="643" t="str">
        <f>IF(Mash_Chem!D12&lt;&gt;0, Mash_Chem!C12, "")</f>
        <v/>
      </c>
      <c r="I14" s="643"/>
      <c r="J14" s="643"/>
      <c r="K14" s="643" t="str">
        <f>IF(Mash_Chem!D12&lt;&gt;0, Mash_Chem!D12, "")</f>
        <v/>
      </c>
      <c r="L14" s="643"/>
      <c r="M14" s="645" t="str">
        <f>IF(Brewhouse!V17="Metric",  IF(Mash_Chem!D12&lt;&gt;0, Mash_Chem!E12*0.453592, ""), IF(Mash_Chem!D12&lt;&gt;0, Mash_Chem!E12, ""))</f>
        <v/>
      </c>
      <c r="N14" s="643"/>
      <c r="O14" s="645" t="str">
        <f>IF(Mash_Chem!D12&lt;&gt;0, Mash_Chem!F12, "")</f>
        <v/>
      </c>
      <c r="P14" s="643"/>
      <c r="Q14" s="643"/>
      <c r="R14" s="643" t="str">
        <f>IF(Mash_Chem!D12&lt;&gt;0, Mash_Chem!G12, "")</f>
        <v/>
      </c>
      <c r="S14" s="643"/>
      <c r="T14" s="643"/>
      <c r="U14" s="645" t="str">
        <f>IF(Mash_Chem!D12&lt;&gt;0, Mash_Chem!H12, "")</f>
        <v/>
      </c>
      <c r="V14" s="643"/>
    </row>
    <row r="15" spans="2:33" ht="12" customHeight="1" x14ac:dyDescent="0.25">
      <c r="B15" s="643" t="str">
        <f>IF(Mash_Chem!D13&lt;&gt;0, Mash_Chem!B13, "")</f>
        <v/>
      </c>
      <c r="C15" s="643"/>
      <c r="D15" s="643"/>
      <c r="E15" s="643"/>
      <c r="F15" s="643"/>
      <c r="G15" s="643"/>
      <c r="H15" s="643" t="str">
        <f>IF(Mash_Chem!D13&lt;&gt;0, Mash_Chem!C13, "")</f>
        <v/>
      </c>
      <c r="I15" s="643"/>
      <c r="J15" s="643"/>
      <c r="K15" s="643" t="str">
        <f>IF(Mash_Chem!D13&lt;&gt;0, Mash_Chem!D13, "")</f>
        <v/>
      </c>
      <c r="L15" s="643"/>
      <c r="M15" s="645" t="str">
        <f>IF(Brewhouse!V17="Metric",  IF(Mash_Chem!D13&lt;&gt;0, Mash_Chem!E13*0.453592, ""), IF(Mash_Chem!D13&lt;&gt;0, Mash_Chem!E13, ""))</f>
        <v/>
      </c>
      <c r="N15" s="643"/>
      <c r="O15" s="645" t="str">
        <f>IF(Mash_Chem!D13&lt;&gt;0, Mash_Chem!F13, "")</f>
        <v/>
      </c>
      <c r="P15" s="643"/>
      <c r="Q15" s="643"/>
      <c r="R15" s="643" t="str">
        <f>IF(Mash_Chem!D13&lt;&gt;0, Mash_Chem!G13, "")</f>
        <v/>
      </c>
      <c r="S15" s="643"/>
      <c r="T15" s="643"/>
      <c r="U15" s="645" t="str">
        <f>IF(Mash_Chem!D13&lt;&gt;0, Mash_Chem!H13, "")</f>
        <v/>
      </c>
      <c r="V15" s="643"/>
    </row>
    <row r="16" spans="2:33" ht="12" customHeight="1" x14ac:dyDescent="0.25">
      <c r="B16" s="643" t="str">
        <f>IF(Mash_Chem!D14&lt;&gt;0, Mash_Chem!B14, "")</f>
        <v/>
      </c>
      <c r="C16" s="643"/>
      <c r="D16" s="643"/>
      <c r="E16" s="643"/>
      <c r="F16" s="643"/>
      <c r="G16" s="643"/>
      <c r="H16" s="643" t="str">
        <f>IF(Mash_Chem!D14&lt;&gt;0, Mash_Chem!C14, "")</f>
        <v/>
      </c>
      <c r="I16" s="643"/>
      <c r="J16" s="643"/>
      <c r="K16" s="643" t="str">
        <f>IF(Mash_Chem!D14&lt;&gt;0, Mash_Chem!D14, "")</f>
        <v/>
      </c>
      <c r="L16" s="643"/>
      <c r="M16" s="645" t="str">
        <f>IF(Brewhouse!V17="Metric",  IF(Mash_Chem!D14&lt;&gt;0, Mash_Chem!E14*0.453592, ""), IF(Mash_Chem!D14&lt;&gt;0, Mash_Chem!E14, ""))</f>
        <v/>
      </c>
      <c r="N16" s="643"/>
      <c r="O16" s="645" t="str">
        <f>IF(Mash_Chem!D14&lt;&gt;0, Mash_Chem!F14, "")</f>
        <v/>
      </c>
      <c r="P16" s="643"/>
      <c r="Q16" s="643"/>
      <c r="R16" s="643" t="str">
        <f>IF(Mash_Chem!D14&lt;&gt;0, Mash_Chem!G14, "")</f>
        <v/>
      </c>
      <c r="S16" s="643"/>
      <c r="T16" s="643"/>
      <c r="U16" s="645" t="str">
        <f>IF(Mash_Chem!D14&lt;&gt;0, Mash_Chem!H14, "")</f>
        <v/>
      </c>
      <c r="V16" s="643"/>
    </row>
    <row r="17" spans="2:33" ht="12" customHeight="1" x14ac:dyDescent="0.25">
      <c r="B17" s="643" t="str">
        <f>IF(Mash_Chem!D15&lt;&gt;0, Mash_Chem!B15, "")</f>
        <v/>
      </c>
      <c r="C17" s="643"/>
      <c r="D17" s="643"/>
      <c r="E17" s="643"/>
      <c r="F17" s="643"/>
      <c r="G17" s="643"/>
      <c r="H17" s="643" t="str">
        <f>IF(Mash_Chem!D15&lt;&gt;0, Mash_Chem!C15, "")</f>
        <v/>
      </c>
      <c r="I17" s="643"/>
      <c r="J17" s="643"/>
      <c r="K17" s="643" t="str">
        <f>IF(Mash_Chem!D15&lt;&gt;0, Mash_Chem!D15, "")</f>
        <v/>
      </c>
      <c r="L17" s="643"/>
      <c r="M17" s="645" t="str">
        <f>IF(Brewhouse!V17="Metric",  IF(Mash_Chem!D15&lt;&gt;0, Mash_Chem!E15*0.453592, ""), IF(Mash_Chem!D15&lt;&gt;0, Mash_Chem!E15, ""))</f>
        <v/>
      </c>
      <c r="N17" s="643"/>
      <c r="O17" s="645" t="str">
        <f>IF(Mash_Chem!D15&lt;&gt;0, Mash_Chem!F15, "")</f>
        <v/>
      </c>
      <c r="P17" s="643"/>
      <c r="Q17" s="643"/>
      <c r="R17" s="643" t="str">
        <f>IF(Mash_Chem!D15&lt;&gt;0, Mash_Chem!G15, "")</f>
        <v/>
      </c>
      <c r="S17" s="643"/>
      <c r="T17" s="643"/>
      <c r="U17" s="645" t="str">
        <f>IF(Mash_Chem!D15&lt;&gt;0, Mash_Chem!H15, "")</f>
        <v/>
      </c>
      <c r="V17" s="643"/>
    </row>
    <row r="18" spans="2:33" ht="12" customHeight="1" x14ac:dyDescent="0.25">
      <c r="B18" s="643" t="str">
        <f>IF(Mash_Chem!D16&lt;&gt;0, Mash_Chem!B16, "")</f>
        <v/>
      </c>
      <c r="C18" s="643"/>
      <c r="D18" s="643"/>
      <c r="E18" s="643"/>
      <c r="F18" s="643"/>
      <c r="G18" s="643"/>
      <c r="H18" s="643" t="str">
        <f>IF(Mash_Chem!D16&lt;&gt;0, Mash_Chem!C16, "")</f>
        <v/>
      </c>
      <c r="I18" s="643"/>
      <c r="J18" s="643"/>
      <c r="K18" s="643" t="str">
        <f>IF(Mash_Chem!D16&lt;&gt;0, Mash_Chem!D16, "")</f>
        <v/>
      </c>
      <c r="L18" s="643"/>
      <c r="M18" s="645" t="str">
        <f>IF(Brewhouse!V17="Metric",  IF(Mash_Chem!D16&lt;&gt;0, Mash_Chem!E16*0.453592, ""), IF(Mash_Chem!D16&lt;&gt;0, Mash_Chem!E16, ""))</f>
        <v/>
      </c>
      <c r="N18" s="643"/>
      <c r="O18" s="645" t="str">
        <f>IF(Mash_Chem!D16&lt;&gt;0, Mash_Chem!F16, "")</f>
        <v/>
      </c>
      <c r="P18" s="643"/>
      <c r="Q18" s="643"/>
      <c r="R18" s="643" t="str">
        <f>IF(Mash_Chem!D16&lt;&gt;0, Mash_Chem!G16, "")</f>
        <v/>
      </c>
      <c r="S18" s="643"/>
      <c r="T18" s="643"/>
      <c r="U18" s="645" t="str">
        <f>IF(Mash_Chem!D16&lt;&gt;0, Mash_Chem!H16, "")</f>
        <v/>
      </c>
      <c r="V18" s="643"/>
    </row>
    <row r="19" spans="2:33" ht="12" customHeight="1" x14ac:dyDescent="0.25">
      <c r="B19" s="643" t="str">
        <f>IF(Mash_Chem!D17&lt;&gt;0, Mash_Chem!B17, "")</f>
        <v/>
      </c>
      <c r="C19" s="643"/>
      <c r="D19" s="643"/>
      <c r="E19" s="643"/>
      <c r="F19" s="643"/>
      <c r="G19" s="643"/>
      <c r="H19" s="643" t="str">
        <f>IF(Mash_Chem!D17&lt;&gt;0, Mash_Chem!C17, "")</f>
        <v/>
      </c>
      <c r="I19" s="643"/>
      <c r="J19" s="643"/>
      <c r="K19" s="643" t="str">
        <f>IF(Mash_Chem!D17&lt;&gt;0, Mash_Chem!D17, "")</f>
        <v/>
      </c>
      <c r="L19" s="643"/>
      <c r="M19" s="645" t="str">
        <f>IF(Brewhouse!V17="Metric",  IF(Mash_Chem!D17&lt;&gt;0, Mash_Chem!E17*0.453592, ""), IF(Mash_Chem!D17&lt;&gt;0, Mash_Chem!E17, ""))</f>
        <v/>
      </c>
      <c r="N19" s="643"/>
      <c r="O19" s="645" t="str">
        <f>IF(Mash_Chem!D17&lt;&gt;0, Mash_Chem!F17, "")</f>
        <v/>
      </c>
      <c r="P19" s="643"/>
      <c r="Q19" s="643"/>
      <c r="R19" s="643" t="str">
        <f>IF(Mash_Chem!D17&lt;&gt;0, Mash_Chem!G17, "")</f>
        <v/>
      </c>
      <c r="S19" s="643"/>
      <c r="T19" s="643"/>
      <c r="U19" s="645" t="str">
        <f>IF(Mash_Chem!D17&lt;&gt;0, Mash_Chem!H17, "")</f>
        <v/>
      </c>
      <c r="V19" s="643"/>
    </row>
    <row r="20" spans="2:33" ht="12" customHeight="1" x14ac:dyDescent="0.25">
      <c r="B20" s="643" t="str">
        <f>IF(Mash_Chem!D18&lt;&gt;0, Mash_Chem!B18, "")</f>
        <v/>
      </c>
      <c r="C20" s="643"/>
      <c r="D20" s="643"/>
      <c r="E20" s="643"/>
      <c r="F20" s="643"/>
      <c r="G20" s="643"/>
      <c r="H20" s="643" t="str">
        <f>IF(Mash_Chem!D18&lt;&gt;0, Mash_Chem!C18, "")</f>
        <v/>
      </c>
      <c r="I20" s="643"/>
      <c r="J20" s="643"/>
      <c r="K20" s="643" t="str">
        <f>IF(Mash_Chem!D18&lt;&gt;0, Mash_Chem!D18, "")</f>
        <v/>
      </c>
      <c r="L20" s="643"/>
      <c r="M20" s="645" t="str">
        <f>IF(Brewhouse!V17="Metric",  IF(Mash_Chem!D18&lt;&gt;0, Mash_Chem!E18*0.453592, ""), IF(Mash_Chem!D18&lt;&gt;0, Mash_Chem!E18, ""))</f>
        <v/>
      </c>
      <c r="N20" s="643"/>
      <c r="O20" s="645" t="str">
        <f>IF(Mash_Chem!D18&lt;&gt;0, Mash_Chem!F18, "")</f>
        <v/>
      </c>
      <c r="P20" s="643"/>
      <c r="Q20" s="643"/>
      <c r="R20" s="643" t="str">
        <f>IF(Mash_Chem!D18&lt;&gt;0, Mash_Chem!G18, "")</f>
        <v/>
      </c>
      <c r="S20" s="643"/>
      <c r="T20" s="643"/>
      <c r="U20" s="645" t="str">
        <f>IF(Mash_Chem!D18&lt;&gt;0, Mash_Chem!H18, "")</f>
        <v/>
      </c>
      <c r="V20" s="643"/>
    </row>
    <row r="21" spans="2:33" ht="12" customHeight="1" x14ac:dyDescent="0.25">
      <c r="B21" s="643" t="str">
        <f>IF(Mash_Chem!D19&lt;&gt;0, Mash_Chem!B19, "")</f>
        <v/>
      </c>
      <c r="C21" s="643"/>
      <c r="D21" s="643"/>
      <c r="E21" s="643"/>
      <c r="F21" s="643"/>
      <c r="G21" s="643"/>
      <c r="H21" s="643" t="str">
        <f>IF(Mash_Chem!D19&lt;&gt;0, Mash_Chem!C19, "")</f>
        <v/>
      </c>
      <c r="I21" s="643"/>
      <c r="J21" s="643"/>
      <c r="K21" s="643" t="str">
        <f>IF(Mash_Chem!D19&lt;&gt;0, Mash_Chem!D19, "")</f>
        <v/>
      </c>
      <c r="L21" s="643"/>
      <c r="M21" s="645" t="str">
        <f>IF(Brewhouse!V17="Metric",  IF(Mash_Chem!D19&lt;&gt;0, Mash_Chem!E19*0.453592, ""), IF(Mash_Chem!D19&lt;&gt;0, Mash_Chem!E19, ""))</f>
        <v/>
      </c>
      <c r="N21" s="643"/>
      <c r="O21" s="645" t="str">
        <f>IF(Mash_Chem!D19&lt;&gt;0, Mash_Chem!F19, "")</f>
        <v/>
      </c>
      <c r="P21" s="643"/>
      <c r="Q21" s="643"/>
      <c r="R21" s="643" t="str">
        <f>IF(Mash_Chem!D19&lt;&gt;0, Mash_Chem!G19, "")</f>
        <v/>
      </c>
      <c r="S21" s="643"/>
      <c r="T21" s="643"/>
      <c r="U21" s="645" t="str">
        <f>IF(Mash_Chem!D19&lt;&gt;0, Mash_Chem!H19, "")</f>
        <v/>
      </c>
      <c r="V21" s="643"/>
    </row>
    <row r="22" spans="2:33" ht="9" customHeight="1" x14ac:dyDescent="0.25">
      <c r="P22" s="155"/>
    </row>
    <row r="23" spans="2:33" x14ac:dyDescent="0.25">
      <c r="B23" s="636" t="s">
        <v>418</v>
      </c>
      <c r="C23" s="636"/>
      <c r="D23" s="636"/>
      <c r="E23" s="636"/>
      <c r="F23" s="636" t="s">
        <v>477</v>
      </c>
      <c r="G23" s="636"/>
      <c r="H23" s="636"/>
      <c r="I23" s="636"/>
      <c r="J23" s="636"/>
      <c r="K23" s="636"/>
      <c r="L23" s="636"/>
      <c r="M23" s="636"/>
      <c r="N23" s="636" t="s">
        <v>478</v>
      </c>
      <c r="O23" s="636"/>
      <c r="P23" s="636" t="s">
        <v>479</v>
      </c>
      <c r="Q23" s="636"/>
      <c r="R23" s="636"/>
      <c r="S23" s="636"/>
      <c r="U23" s="515" t="s">
        <v>480</v>
      </c>
      <c r="V23" s="516"/>
      <c r="W23" s="516"/>
      <c r="X23" s="516"/>
      <c r="Y23" s="516"/>
      <c r="Z23" s="516"/>
      <c r="AA23" s="516"/>
      <c r="AB23" s="516"/>
      <c r="AC23" s="516"/>
      <c r="AD23" s="517"/>
    </row>
    <row r="24" spans="2:33" ht="18" x14ac:dyDescent="0.35">
      <c r="B24" s="675" t="s">
        <v>468</v>
      </c>
      <c r="C24" s="676"/>
      <c r="D24" s="676"/>
      <c r="E24" s="677"/>
      <c r="F24" s="636" t="s">
        <v>471</v>
      </c>
      <c r="G24" s="636"/>
      <c r="H24" s="636" t="s">
        <v>472</v>
      </c>
      <c r="I24" s="636"/>
      <c r="J24" s="636" t="s">
        <v>473</v>
      </c>
      <c r="K24" s="636"/>
      <c r="L24" s="636" t="s">
        <v>474</v>
      </c>
      <c r="M24" s="636"/>
      <c r="N24" s="636" t="s">
        <v>427</v>
      </c>
      <c r="O24" s="636"/>
      <c r="P24" s="636" t="s">
        <v>475</v>
      </c>
      <c r="Q24" s="636"/>
      <c r="R24" s="636" t="s">
        <v>476</v>
      </c>
      <c r="S24" s="636"/>
      <c r="U24" s="675" t="s">
        <v>481</v>
      </c>
      <c r="V24" s="676"/>
      <c r="W24" s="676"/>
      <c r="X24" s="677"/>
      <c r="Y24" s="636" t="s">
        <v>441</v>
      </c>
      <c r="Z24" s="636"/>
      <c r="AA24" s="636" t="s">
        <v>442</v>
      </c>
      <c r="AB24" s="636"/>
      <c r="AC24" s="636" t="s">
        <v>156</v>
      </c>
      <c r="AD24" s="636"/>
    </row>
    <row r="25" spans="2:33" x14ac:dyDescent="0.25">
      <c r="B25" s="652" t="s">
        <v>469</v>
      </c>
      <c r="C25" s="652"/>
      <c r="D25" s="652"/>
      <c r="E25" s="652"/>
      <c r="F25" s="642">
        <v>2</v>
      </c>
      <c r="G25" s="642"/>
      <c r="H25" s="642">
        <v>1.5</v>
      </c>
      <c r="I25" s="642"/>
      <c r="J25" s="642">
        <v>0</v>
      </c>
      <c r="K25" s="642"/>
      <c r="L25" s="642">
        <v>0</v>
      </c>
      <c r="M25" s="642"/>
      <c r="N25" s="642">
        <v>2</v>
      </c>
      <c r="O25" s="642"/>
      <c r="P25" s="642"/>
      <c r="Q25" s="642"/>
      <c r="R25" s="642"/>
      <c r="S25" s="642"/>
      <c r="U25" s="652" t="s">
        <v>470</v>
      </c>
      <c r="V25" s="652"/>
      <c r="W25" s="652"/>
      <c r="X25" s="652"/>
      <c r="Y25" s="635">
        <v>0.1</v>
      </c>
      <c r="Z25" s="635"/>
      <c r="AA25" s="635">
        <v>0.88</v>
      </c>
      <c r="AB25" s="635"/>
      <c r="AC25" s="635">
        <v>0.03</v>
      </c>
      <c r="AD25" s="635"/>
    </row>
    <row r="26" spans="2:33" x14ac:dyDescent="0.25">
      <c r="B26" s="652" t="s">
        <v>467</v>
      </c>
      <c r="C26" s="652"/>
      <c r="D26" s="652"/>
      <c r="E26" s="652"/>
      <c r="F26" s="642"/>
      <c r="G26" s="642"/>
      <c r="H26" s="642"/>
      <c r="I26" s="642"/>
      <c r="J26" s="642"/>
      <c r="K26" s="642"/>
      <c r="L26" s="642"/>
      <c r="M26" s="642"/>
      <c r="N26" s="642"/>
      <c r="O26" s="642"/>
      <c r="P26" s="642"/>
      <c r="Q26" s="642"/>
      <c r="R26" s="642"/>
      <c r="S26" s="642"/>
      <c r="U26" s="652" t="str">
        <f>IF(Brewhouse!V17="Metric", "Amt (ml) (g for Malt)", "Amt (ml) (oz for Malt)")</f>
        <v>Amt (ml) (oz for Malt)</v>
      </c>
      <c r="V26" s="652"/>
      <c r="W26" s="652"/>
      <c r="X26" s="652"/>
      <c r="Y26" s="464"/>
      <c r="Z26" s="466"/>
      <c r="AA26" s="464">
        <v>2</v>
      </c>
      <c r="AB26" s="466"/>
      <c r="AC26" s="464"/>
      <c r="AD26" s="466"/>
    </row>
    <row r="27" spans="2:33" ht="9" customHeight="1" thickBot="1" x14ac:dyDescent="0.3"/>
    <row r="28" spans="2:33" ht="18.75" customHeight="1" thickTop="1" x14ac:dyDescent="0.35">
      <c r="B28" s="664" t="s">
        <v>484</v>
      </c>
      <c r="C28" s="649"/>
      <c r="D28" s="649"/>
      <c r="E28" s="649"/>
      <c r="F28" s="649"/>
      <c r="G28" s="649"/>
      <c r="H28" s="649" t="s">
        <v>405</v>
      </c>
      <c r="I28" s="649"/>
      <c r="J28" s="649" t="s">
        <v>406</v>
      </c>
      <c r="K28" s="649"/>
      <c r="L28" s="649" t="s">
        <v>407</v>
      </c>
      <c r="M28" s="649"/>
      <c r="N28" s="649" t="s">
        <v>408</v>
      </c>
      <c r="O28" s="649"/>
      <c r="P28" s="649" t="s">
        <v>460</v>
      </c>
      <c r="Q28" s="649"/>
      <c r="R28" s="649" t="s">
        <v>461</v>
      </c>
      <c r="S28" s="650"/>
      <c r="U28" s="678" t="s">
        <v>486</v>
      </c>
      <c r="V28" s="679"/>
      <c r="W28" s="680"/>
      <c r="X28" s="187"/>
      <c r="Y28" s="687" t="s">
        <v>487</v>
      </c>
      <c r="Z28" s="688"/>
      <c r="AA28" s="689"/>
      <c r="AC28" s="704" t="s">
        <v>703</v>
      </c>
      <c r="AD28" s="705"/>
      <c r="AE28" s="705"/>
      <c r="AF28" s="705"/>
      <c r="AG28" s="706"/>
    </row>
    <row r="29" spans="2:33" ht="18" x14ac:dyDescent="0.35">
      <c r="B29" s="651" t="s">
        <v>482</v>
      </c>
      <c r="C29" s="652"/>
      <c r="D29" s="652"/>
      <c r="E29" s="652"/>
      <c r="F29" s="652"/>
      <c r="G29" s="652"/>
      <c r="H29" s="657">
        <f>Kettle_Chem!C32</f>
        <v>76.975268447772194</v>
      </c>
      <c r="I29" s="658"/>
      <c r="J29" s="657">
        <f>Kettle_Chem!D32</f>
        <v>1.6</v>
      </c>
      <c r="K29" s="658"/>
      <c r="L29" s="657">
        <f>Kettle_Chem!E32</f>
        <v>56.192697934058003</v>
      </c>
      <c r="M29" s="658"/>
      <c r="N29" s="657">
        <f>Kettle_Chem!F32</f>
        <v>149.34236145086302</v>
      </c>
      <c r="O29" s="658"/>
      <c r="P29" s="657">
        <f>Kettle_Chem!G32</f>
        <v>68.431155433596132</v>
      </c>
      <c r="Q29" s="658"/>
      <c r="R29" s="657">
        <f>Kettle_Chem!H32</f>
        <v>43</v>
      </c>
      <c r="S29" s="662"/>
      <c r="U29" s="681"/>
      <c r="V29" s="682"/>
      <c r="W29" s="683"/>
      <c r="Y29" s="690"/>
      <c r="Z29" s="537"/>
      <c r="AA29" s="691"/>
      <c r="AC29" s="707" t="s">
        <v>733</v>
      </c>
      <c r="AD29" s="708"/>
      <c r="AE29" s="708"/>
      <c r="AF29" s="708"/>
      <c r="AG29" s="709"/>
    </row>
    <row r="30" spans="2:33" ht="18.75" thickBot="1" x14ac:dyDescent="0.4">
      <c r="B30" s="653" t="s">
        <v>483</v>
      </c>
      <c r="C30" s="654"/>
      <c r="D30" s="654"/>
      <c r="E30" s="654"/>
      <c r="F30" s="654"/>
      <c r="G30" s="654"/>
      <c r="H30" s="640">
        <f>Kettle_Chem!C33</f>
        <v>16.600000000000001</v>
      </c>
      <c r="I30" s="663"/>
      <c r="J30" s="640">
        <f>Kettle_Chem!D33</f>
        <v>1.6</v>
      </c>
      <c r="K30" s="663"/>
      <c r="L30" s="640">
        <f>Kettle_Chem!E33</f>
        <v>3.2</v>
      </c>
      <c r="M30" s="663"/>
      <c r="N30" s="640">
        <f>Kettle_Chem!F33</f>
        <v>2.5</v>
      </c>
      <c r="O30" s="663"/>
      <c r="P30" s="640">
        <f>Kettle_Chem!G33</f>
        <v>12</v>
      </c>
      <c r="Q30" s="663"/>
      <c r="R30" s="640">
        <f>Kettle_Chem!H33</f>
        <v>43</v>
      </c>
      <c r="S30" s="641"/>
      <c r="U30" s="681"/>
      <c r="V30" s="682"/>
      <c r="W30" s="683"/>
      <c r="Y30" s="690"/>
      <c r="Z30" s="537"/>
      <c r="AA30" s="691"/>
      <c r="AC30" s="701">
        <v>5.42</v>
      </c>
      <c r="AD30" s="702"/>
      <c r="AE30" s="702"/>
      <c r="AF30" s="702"/>
      <c r="AG30" s="703"/>
    </row>
    <row r="31" spans="2:33" ht="19.5" thickTop="1" thickBot="1" x14ac:dyDescent="0.4">
      <c r="B31" s="655" t="s">
        <v>485</v>
      </c>
      <c r="C31" s="656"/>
      <c r="D31" s="656"/>
      <c r="E31" s="656"/>
      <c r="F31" s="656"/>
      <c r="G31" s="656"/>
      <c r="H31" s="659">
        <f>Kettle_Chem!C34</f>
        <v>47.011133916378739</v>
      </c>
      <c r="I31" s="660"/>
      <c r="J31" s="659">
        <f>Kettle_Chem!D34</f>
        <v>1.6000000000000003</v>
      </c>
      <c r="K31" s="660"/>
      <c r="L31" s="659">
        <f>Kettle_Chem!E34</f>
        <v>29.892519551394408</v>
      </c>
      <c r="M31" s="660"/>
      <c r="N31" s="659">
        <f>Kettle_Chem!F34</f>
        <v>76.464767917222673</v>
      </c>
      <c r="O31" s="660"/>
      <c r="P31" s="659">
        <f>Kettle_Chem!G34</f>
        <v>40.424476926866568</v>
      </c>
      <c r="Q31" s="660"/>
      <c r="R31" s="659">
        <f>Kettle_Chem!H34</f>
        <v>43</v>
      </c>
      <c r="S31" s="661"/>
      <c r="U31" s="684">
        <f>Kettle_Chem!J34</f>
        <v>1.8915462544031909</v>
      </c>
      <c r="V31" s="685"/>
      <c r="W31" s="686"/>
      <c r="Y31" s="684">
        <f>Mash_Chem!B72</f>
        <v>5.3796877902959332</v>
      </c>
      <c r="Z31" s="692"/>
      <c r="AA31" s="693"/>
      <c r="AC31" s="280">
        <f>Sparge_Acidification!C31</f>
        <v>8.6888517614813665</v>
      </c>
      <c r="AD31" s="637" t="s">
        <v>706</v>
      </c>
      <c r="AE31" s="637"/>
      <c r="AF31" s="637"/>
      <c r="AG31" s="638"/>
    </row>
    <row r="32" spans="2:33" ht="16.5" thickTop="1" x14ac:dyDescent="0.25">
      <c r="B32" s="646" t="s">
        <v>1410</v>
      </c>
      <c r="C32" s="647"/>
      <c r="D32" s="647"/>
      <c r="E32" s="647"/>
      <c r="F32" s="647"/>
      <c r="G32" s="648"/>
      <c r="H32" s="639">
        <f>VLOOKUP(B32,H2ORecs!$A$2:$G$200,2,0)</f>
        <v>40</v>
      </c>
      <c r="I32" s="639"/>
      <c r="J32" s="639">
        <f>VLOOKUP(B32,H2ORecs!$A$2:$G$200,3,0)</f>
        <v>5</v>
      </c>
      <c r="K32" s="639"/>
      <c r="L32" s="639">
        <f>VLOOKUP(B32,H2ORecs!$A$2:$G$200,4,0)</f>
        <v>30</v>
      </c>
      <c r="M32" s="639"/>
      <c r="N32" s="639">
        <f>VLOOKUP(B32,H2ORecs!$A$2:$G$200,5,0)</f>
        <v>70</v>
      </c>
      <c r="O32" s="639"/>
      <c r="P32" s="639">
        <f>VLOOKUP(B32,H2ORecs!$A$2:$G$200,6,0)</f>
        <v>40</v>
      </c>
      <c r="Q32" s="639"/>
      <c r="R32" s="639">
        <f>VLOOKUP(B32,H2ORecs!$A$2:$G$200,7,0)</f>
        <v>60</v>
      </c>
      <c r="S32" s="639"/>
      <c r="U32" s="190"/>
      <c r="V32" s="190"/>
      <c r="W32" s="190"/>
      <c r="Y32" s="190"/>
      <c r="Z32" s="189"/>
      <c r="AA32" s="189"/>
      <c r="AC32" s="630" t="s">
        <v>704</v>
      </c>
      <c r="AD32" s="631"/>
      <c r="AE32" s="631"/>
      <c r="AF32" s="631"/>
      <c r="AG32" s="632"/>
    </row>
    <row r="33" spans="2:33" ht="15.75" x14ac:dyDescent="0.25">
      <c r="B33" s="192" t="s">
        <v>499</v>
      </c>
      <c r="C33" s="191"/>
      <c r="D33" s="191"/>
      <c r="E33" s="191"/>
      <c r="F33" s="191"/>
      <c r="G33" s="191"/>
      <c r="H33" s="191"/>
      <c r="I33" s="191"/>
      <c r="J33" s="191"/>
      <c r="K33" s="191"/>
      <c r="L33" s="191"/>
      <c r="M33" s="616" t="s">
        <v>963</v>
      </c>
      <c r="N33" s="617"/>
      <c r="O33" s="617"/>
      <c r="P33" s="617"/>
      <c r="Q33" s="617"/>
      <c r="R33" s="618"/>
      <c r="S33" s="622" t="s">
        <v>1311</v>
      </c>
      <c r="U33" s="190"/>
      <c r="V33" s="190"/>
      <c r="W33" s="190"/>
      <c r="Y33" s="190"/>
      <c r="Z33" s="189"/>
      <c r="AA33" s="189"/>
      <c r="AC33" s="281">
        <f>Sparge_Acidification!C24</f>
        <v>0.7905803315712745</v>
      </c>
      <c r="AD33" s="633" t="s">
        <v>705</v>
      </c>
      <c r="AE33" s="633"/>
      <c r="AF33" s="633"/>
      <c r="AG33" s="634"/>
    </row>
    <row r="34" spans="2:33" ht="15" customHeight="1" x14ac:dyDescent="0.25">
      <c r="M34" s="619"/>
      <c r="N34" s="620"/>
      <c r="O34" s="620"/>
      <c r="P34" s="620"/>
      <c r="Q34" s="620"/>
      <c r="R34" s="621"/>
      <c r="S34" s="623"/>
      <c r="AC34" s="626" t="s">
        <v>842</v>
      </c>
      <c r="AD34" s="627"/>
      <c r="AE34" s="627"/>
      <c r="AF34" s="628"/>
      <c r="AG34" s="381" t="s">
        <v>1311</v>
      </c>
    </row>
    <row r="35" spans="2:33" x14ac:dyDescent="0.25">
      <c r="B35" s="102" t="s">
        <v>488</v>
      </c>
    </row>
    <row r="36" spans="2:33" ht="12" customHeight="1" x14ac:dyDescent="0.25">
      <c r="B36" s="102" t="s">
        <v>489</v>
      </c>
    </row>
    <row r="38" spans="2:33" ht="11.25" hidden="1" customHeight="1" x14ac:dyDescent="0.25">
      <c r="B38" s="311"/>
      <c r="F38" s="629" t="str">
        <f>IF(F25&gt;0, CONCATENATE(F25, "g CaCl2, "), "")</f>
        <v xml:space="preserve">2g CaCl2, </v>
      </c>
      <c r="G38" s="629"/>
      <c r="H38" s="629" t="str">
        <f>IF(H25&gt;0, CONCATENATE(H25, "g CaSO4, "), "")</f>
        <v xml:space="preserve">1.5g CaSO4, </v>
      </c>
      <c r="I38" s="629"/>
      <c r="J38" s="629" t="str">
        <f>IF(J25&gt;0, CONCATENATE(J25, "g MgCl2, "), "")</f>
        <v/>
      </c>
      <c r="K38" s="629"/>
      <c r="L38" s="629" t="str">
        <f>IF(L25&gt;0, CONCATENATE(L25, "g MgSO4, "), "")</f>
        <v/>
      </c>
      <c r="M38" s="629"/>
      <c r="N38" s="629" t="str">
        <f>IF(N25&gt;0, CONCATENATE(N25, "g NaCl, "), "")</f>
        <v xml:space="preserve">2g NaCl, </v>
      </c>
      <c r="O38" s="629"/>
      <c r="P38" s="629" t="str">
        <f>IF(P25&gt;0, CONCATENATE(P25, "g NaHCO3, "), "")</f>
        <v/>
      </c>
      <c r="Q38" s="629"/>
      <c r="R38" s="629" t="str">
        <f>IF(R25&gt;0, CONCATENATE(R25, "g Ca(OH)2, "), "")</f>
        <v/>
      </c>
      <c r="S38" s="629"/>
      <c r="Y38" s="629" t="str">
        <f>IF(Y26&gt;0, CONCATENATE(Y26, "ml Phosphoric Acid, "), "")</f>
        <v/>
      </c>
      <c r="Z38" s="629"/>
      <c r="AA38" s="629" t="str">
        <f>IF(AA26&gt;0, CONCATENATE(AA26, "ml Lactic Acid, "), "")</f>
        <v xml:space="preserve">2ml Lactic Acid, </v>
      </c>
      <c r="AB38" s="629"/>
      <c r="AC38" s="629" t="str">
        <f>IF(Brewhouse!V17="Metric",                           IF(AC26&gt;0, CONCATENATE(AC26, "g Acid Malt"), ""),      IF(AC26&gt;0, CONCATENATE(AC26, "oz Acid Malt"), ""))</f>
        <v/>
      </c>
      <c r="AD38" s="629"/>
    </row>
    <row r="39" spans="2:33" ht="12" hidden="1" customHeight="1" x14ac:dyDescent="0.25">
      <c r="B39" s="311"/>
      <c r="F39" s="629" t="str">
        <f>IF(F26&gt;0, CONCATENATE(F26, "g CaCl2, "), "")</f>
        <v/>
      </c>
      <c r="G39" s="629"/>
      <c r="H39" s="629" t="str">
        <f>IF(H26&gt;0, CONCATENATE(H26, "g CaSO4, "), "")</f>
        <v/>
      </c>
      <c r="I39" s="629"/>
      <c r="J39" s="629" t="str">
        <f>IF(J26&gt;0, CONCATENATE(J26, "g MgCl2, "), "")</f>
        <v/>
      </c>
      <c r="K39" s="629"/>
      <c r="L39" s="629" t="str">
        <f>IF(L26&gt;0, CONCATENATE(L26, "g MgSO4, "), "")</f>
        <v/>
      </c>
      <c r="M39" s="629"/>
      <c r="N39" s="629" t="str">
        <f>IF(N26&gt;0, CONCATENATE(N26, "g NaCl, "), "")</f>
        <v/>
      </c>
      <c r="O39" s="629"/>
      <c r="P39" s="629" t="str">
        <f>IF(P26&gt;0, CONCATENATE(P26, "g NaHCO3, "), "")</f>
        <v/>
      </c>
      <c r="Q39" s="629"/>
      <c r="R39" s="629" t="str">
        <f>IF(R26&gt;0, CONCATENATE(R26, "g Ca(OH)2, "), "")</f>
        <v/>
      </c>
      <c r="S39" s="629"/>
    </row>
    <row r="40" spans="2:33" ht="9" hidden="1" customHeight="1" x14ac:dyDescent="0.25">
      <c r="B40" s="311"/>
      <c r="AC40" t="str">
        <f>CONCATENATE(" (acidified with ", ROUND(AC31, 2), " ", AD31, " or ", ROUND(AC33,2), " ", AD33, ")" )</f>
        <v xml:space="preserve"> (acidified with 8.69 ml Phosphoric Acid or 0.79 ml Lactic Acid)</v>
      </c>
    </row>
    <row r="41" spans="2:33" hidden="1" x14ac:dyDescent="0.25">
      <c r="B41" s="311"/>
      <c r="AC41" t="str">
        <f>CONCATENATE(ROUND(AC31, 2), " ", AD31, " or ", ROUND(AC33,2), " ", AD33)</f>
        <v>8.69 ml Phosphoric Acid or 0.79 ml Lactic Acid</v>
      </c>
    </row>
    <row r="42" spans="2:33" hidden="1" x14ac:dyDescent="0.25">
      <c r="B42" s="311"/>
      <c r="D42" t="s">
        <v>964</v>
      </c>
      <c r="H42" t="str">
        <f>CONCATENATE(ROUND(H29, 0), " Ca ,", ROUND(J29, 0), " Mg, ", ROUND(L29, 0), " Na, ", ROUND(N29, 0), " Cl, ", ROUND(P29, 0), " SO4 , ", ROUND(R29, 0), " HCO3")</f>
        <v>77 Ca ,2 Mg, 56 Na, 149 Cl, 68 SO4 , 43 HCO3</v>
      </c>
    </row>
    <row r="43" spans="2:33" hidden="1" x14ac:dyDescent="0.25">
      <c r="B43" s="311"/>
      <c r="D43" t="s">
        <v>965</v>
      </c>
      <c r="H43" t="str">
        <f>CONCATENATE(ROUND(H30, 0), " Ca ,", ROUND(J30, 0), " Mg, ", ROUND(L30, 0), " Na, ", ROUND(N30, 0), " Cl, ", ROUND(P30, 0), " SO4 , ", ROUND(R30, 0), " HCO3")</f>
        <v>17 Ca ,2 Mg, 3 Na, 3 Cl, 12 SO4 , 43 HCO3</v>
      </c>
    </row>
    <row r="44" spans="2:33" hidden="1" x14ac:dyDescent="0.25">
      <c r="B44" s="311"/>
      <c r="D44" t="s">
        <v>966</v>
      </c>
      <c r="H44" t="str">
        <f>CONCATENATE(ROUND(H31, 0), " Ca ,", ROUND(J31, 0), " Mg, ", ROUND(L31, 0), " Na, ", ROUND(N31, 0), " Cl, ", ROUND(P31, 0), " SO4 , ", ROUND(R31, 0), " HCO3")</f>
        <v>47 Ca ,2 Mg, 30 Na, 76 Cl, 40 SO4 , 43 HCO3</v>
      </c>
    </row>
  </sheetData>
  <mergeCells count="239">
    <mergeCell ref="U31:W31"/>
    <mergeCell ref="Y28:AA30"/>
    <mergeCell ref="Y31:AA31"/>
    <mergeCell ref="W3:X3"/>
    <mergeCell ref="W4:X4"/>
    <mergeCell ref="Y25:Z25"/>
    <mergeCell ref="AA25:AB25"/>
    <mergeCell ref="AA24:AB24"/>
    <mergeCell ref="AB3:AF4"/>
    <mergeCell ref="U24:X24"/>
    <mergeCell ref="AC30:AG30"/>
    <mergeCell ref="AC28:AG28"/>
    <mergeCell ref="AC29:AG29"/>
    <mergeCell ref="AC24:AD24"/>
    <mergeCell ref="Y26:Z26"/>
    <mergeCell ref="U25:X25"/>
    <mergeCell ref="U23:AD23"/>
    <mergeCell ref="U4:V4"/>
    <mergeCell ref="R21:T21"/>
    <mergeCell ref="AC26:AD26"/>
    <mergeCell ref="U28:W30"/>
    <mergeCell ref="U26:X26"/>
    <mergeCell ref="Y24:Z24"/>
    <mergeCell ref="M20:N20"/>
    <mergeCell ref="O20:Q20"/>
    <mergeCell ref="O16:Q16"/>
    <mergeCell ref="W2:Z2"/>
    <mergeCell ref="U20:V20"/>
    <mergeCell ref="R18:T18"/>
    <mergeCell ref="U17:V17"/>
    <mergeCell ref="O15:Q15"/>
    <mergeCell ref="R17:T17"/>
    <mergeCell ref="U16:V16"/>
    <mergeCell ref="R12:T12"/>
    <mergeCell ref="U12:V12"/>
    <mergeCell ref="U13:V13"/>
    <mergeCell ref="O14:Q14"/>
    <mergeCell ref="U14:V14"/>
    <mergeCell ref="R13:T13"/>
    <mergeCell ref="R14:T14"/>
    <mergeCell ref="O13:Q13"/>
    <mergeCell ref="O9:Q9"/>
    <mergeCell ref="B20:G20"/>
    <mergeCell ref="H20:J20"/>
    <mergeCell ref="K20:L20"/>
    <mergeCell ref="R20:T20"/>
    <mergeCell ref="U18:V18"/>
    <mergeCell ref="U19:V19"/>
    <mergeCell ref="R19:T19"/>
    <mergeCell ref="B26:E26"/>
    <mergeCell ref="B24:E24"/>
    <mergeCell ref="B25:E25"/>
    <mergeCell ref="U21:V21"/>
    <mergeCell ref="B21:G21"/>
    <mergeCell ref="H21:J21"/>
    <mergeCell ref="K21:L21"/>
    <mergeCell ref="M21:N21"/>
    <mergeCell ref="O21:Q21"/>
    <mergeCell ref="P26:Q26"/>
    <mergeCell ref="L24:M24"/>
    <mergeCell ref="N24:O24"/>
    <mergeCell ref="F26:G26"/>
    <mergeCell ref="H26:I26"/>
    <mergeCell ref="R26:S26"/>
    <mergeCell ref="J26:K26"/>
    <mergeCell ref="L26:M26"/>
    <mergeCell ref="R16:T16"/>
    <mergeCell ref="U15:V15"/>
    <mergeCell ref="K19:L19"/>
    <mergeCell ref="M19:N19"/>
    <mergeCell ref="O19:Q19"/>
    <mergeCell ref="B18:G18"/>
    <mergeCell ref="H18:J18"/>
    <mergeCell ref="K18:L18"/>
    <mergeCell ref="M18:N18"/>
    <mergeCell ref="O18:Q18"/>
    <mergeCell ref="M15:N15"/>
    <mergeCell ref="R15:T15"/>
    <mergeCell ref="O17:Q17"/>
    <mergeCell ref="B19:G19"/>
    <mergeCell ref="H19:J19"/>
    <mergeCell ref="B16:G16"/>
    <mergeCell ref="K17:L17"/>
    <mergeCell ref="M17:N17"/>
    <mergeCell ref="B15:G15"/>
    <mergeCell ref="H15:J15"/>
    <mergeCell ref="K15:L15"/>
    <mergeCell ref="K16:L16"/>
    <mergeCell ref="M16:N16"/>
    <mergeCell ref="B17:G17"/>
    <mergeCell ref="B10:G10"/>
    <mergeCell ref="H10:J10"/>
    <mergeCell ref="K10:L10"/>
    <mergeCell ref="M10:N10"/>
    <mergeCell ref="O10:Q10"/>
    <mergeCell ref="H12:J12"/>
    <mergeCell ref="B14:G14"/>
    <mergeCell ref="H14:J14"/>
    <mergeCell ref="K14:L14"/>
    <mergeCell ref="M14:N14"/>
    <mergeCell ref="B13:G13"/>
    <mergeCell ref="M13:N13"/>
    <mergeCell ref="K12:L12"/>
    <mergeCell ref="K13:L13"/>
    <mergeCell ref="H13:J13"/>
    <mergeCell ref="H17:J17"/>
    <mergeCell ref="H16:J16"/>
    <mergeCell ref="B12:G12"/>
    <mergeCell ref="B6:V6"/>
    <mergeCell ref="B23:E23"/>
    <mergeCell ref="F23:M23"/>
    <mergeCell ref="N23:O23"/>
    <mergeCell ref="P23:S23"/>
    <mergeCell ref="R9:T9"/>
    <mergeCell ref="U9:V9"/>
    <mergeCell ref="R8:T8"/>
    <mergeCell ref="U8:V8"/>
    <mergeCell ref="U11:V11"/>
    <mergeCell ref="U10:V10"/>
    <mergeCell ref="R11:T11"/>
    <mergeCell ref="O11:Q11"/>
    <mergeCell ref="B9:G9"/>
    <mergeCell ref="H9:J9"/>
    <mergeCell ref="K9:L9"/>
    <mergeCell ref="M9:N9"/>
    <mergeCell ref="B11:G11"/>
    <mergeCell ref="H11:J11"/>
    <mergeCell ref="K11:L11"/>
    <mergeCell ref="M11:N11"/>
    <mergeCell ref="J4:K4"/>
    <mergeCell ref="S2:V2"/>
    <mergeCell ref="S3:T3"/>
    <mergeCell ref="U3:V3"/>
    <mergeCell ref="B2:M2"/>
    <mergeCell ref="B3:C3"/>
    <mergeCell ref="D3:E3"/>
    <mergeCell ref="B4:C4"/>
    <mergeCell ref="L3:M3"/>
    <mergeCell ref="O2:P3"/>
    <mergeCell ref="F3:G3"/>
    <mergeCell ref="H3:I3"/>
    <mergeCell ref="J3:K3"/>
    <mergeCell ref="O4:P4"/>
    <mergeCell ref="H4:I4"/>
    <mergeCell ref="F4:G4"/>
    <mergeCell ref="J25:K25"/>
    <mergeCell ref="L25:M25"/>
    <mergeCell ref="P24:Q24"/>
    <mergeCell ref="P25:Q25"/>
    <mergeCell ref="F24:G24"/>
    <mergeCell ref="H24:I24"/>
    <mergeCell ref="R24:S24"/>
    <mergeCell ref="R25:S25"/>
    <mergeCell ref="D4:E4"/>
    <mergeCell ref="L4:M4"/>
    <mergeCell ref="F25:G25"/>
    <mergeCell ref="H25:I25"/>
    <mergeCell ref="S4:T4"/>
    <mergeCell ref="J24:K24"/>
    <mergeCell ref="B8:G8"/>
    <mergeCell ref="H8:J8"/>
    <mergeCell ref="K8:L8"/>
    <mergeCell ref="M8:N8"/>
    <mergeCell ref="O8:Q8"/>
    <mergeCell ref="O7:Q7"/>
    <mergeCell ref="B7:G7"/>
    <mergeCell ref="M7:N7"/>
    <mergeCell ref="K7:L7"/>
    <mergeCell ref="H7:J7"/>
    <mergeCell ref="H31:I31"/>
    <mergeCell ref="J31:K31"/>
    <mergeCell ref="L31:M31"/>
    <mergeCell ref="N31:O31"/>
    <mergeCell ref="B28:G28"/>
    <mergeCell ref="H28:I28"/>
    <mergeCell ref="J28:K28"/>
    <mergeCell ref="L28:M28"/>
    <mergeCell ref="N28:O28"/>
    <mergeCell ref="B32:G32"/>
    <mergeCell ref="H32:I32"/>
    <mergeCell ref="J32:K32"/>
    <mergeCell ref="L32:M32"/>
    <mergeCell ref="N32:O32"/>
    <mergeCell ref="P32:Q32"/>
    <mergeCell ref="P28:Q28"/>
    <mergeCell ref="R28:S28"/>
    <mergeCell ref="B29:G29"/>
    <mergeCell ref="B30:G30"/>
    <mergeCell ref="B31:G31"/>
    <mergeCell ref="H29:I29"/>
    <mergeCell ref="J29:K29"/>
    <mergeCell ref="L29:M29"/>
    <mergeCell ref="N29:O29"/>
    <mergeCell ref="P29:Q29"/>
    <mergeCell ref="P31:Q31"/>
    <mergeCell ref="R31:S31"/>
    <mergeCell ref="R29:S29"/>
    <mergeCell ref="H30:I30"/>
    <mergeCell ref="J30:K30"/>
    <mergeCell ref="L30:M30"/>
    <mergeCell ref="N30:O30"/>
    <mergeCell ref="P30:Q30"/>
    <mergeCell ref="F39:G39"/>
    <mergeCell ref="H39:I39"/>
    <mergeCell ref="J39:K39"/>
    <mergeCell ref="L39:M39"/>
    <mergeCell ref="N39:O39"/>
    <mergeCell ref="P39:Q39"/>
    <mergeCell ref="R39:S39"/>
    <mergeCell ref="F38:G38"/>
    <mergeCell ref="H38:I38"/>
    <mergeCell ref="J38:K38"/>
    <mergeCell ref="L38:M38"/>
    <mergeCell ref="N38:O38"/>
    <mergeCell ref="P38:Q38"/>
    <mergeCell ref="M33:R34"/>
    <mergeCell ref="S33:S34"/>
    <mergeCell ref="AG3:AG4"/>
    <mergeCell ref="AC34:AF34"/>
    <mergeCell ref="Y38:Z38"/>
    <mergeCell ref="AA38:AB38"/>
    <mergeCell ref="AC38:AD38"/>
    <mergeCell ref="AC32:AG32"/>
    <mergeCell ref="AD33:AG33"/>
    <mergeCell ref="Y4:Z4"/>
    <mergeCell ref="Y3:Z3"/>
    <mergeCell ref="AD31:AG31"/>
    <mergeCell ref="R38:S38"/>
    <mergeCell ref="R32:S32"/>
    <mergeCell ref="R30:S30"/>
    <mergeCell ref="N26:O26"/>
    <mergeCell ref="N25:O25"/>
    <mergeCell ref="AC25:AD25"/>
    <mergeCell ref="AA26:AB26"/>
    <mergeCell ref="R10:T10"/>
    <mergeCell ref="R7:T7"/>
    <mergeCell ref="U7:V7"/>
    <mergeCell ref="M12:N12"/>
    <mergeCell ref="O12:Q12"/>
  </mergeCells>
  <conditionalFormatting sqref="Y31">
    <cfRule type="expression" dxfId="13" priority="15">
      <formula>IF(Y31&gt;5.8, 1, 0)</formula>
    </cfRule>
    <cfRule type="expression" dxfId="12" priority="16">
      <formula>IF(Y31&lt; 5.1, 1, 0)</formula>
    </cfRule>
    <cfRule type="expression" dxfId="11" priority="17">
      <formula>IF(Y31&gt;5.6,1,0)</formula>
    </cfRule>
    <cfRule type="expression" dxfId="10" priority="18">
      <formula>IF(Y31&lt;5.2, 1, 0)</formula>
    </cfRule>
  </conditionalFormatting>
  <conditionalFormatting sqref="H30:I30">
    <cfRule type="expression" dxfId="9" priority="6" stopIfTrue="1">
      <formula>IF(W4&lt;=0.001, TRUE, FALSE)</formula>
    </cfRule>
  </conditionalFormatting>
  <conditionalFormatting sqref="J30:K30">
    <cfRule type="expression" dxfId="8" priority="5" stopIfTrue="1">
      <formula>IF(W4&lt;=0.001, TRUE, FALSE)</formula>
    </cfRule>
  </conditionalFormatting>
  <conditionalFormatting sqref="L30:M30">
    <cfRule type="expression" dxfId="7" priority="4" stopIfTrue="1">
      <formula>IF(W4&lt;=0.001, TRUE, FALSE)</formula>
    </cfRule>
  </conditionalFormatting>
  <conditionalFormatting sqref="N30:O30">
    <cfRule type="expression" dxfId="6" priority="3" stopIfTrue="1">
      <formula>IF(W4&lt;=0.001, TRUE, FALSE)</formula>
    </cfRule>
  </conditionalFormatting>
  <conditionalFormatting sqref="P30:Q30">
    <cfRule type="expression" dxfId="5" priority="2" stopIfTrue="1">
      <formula>IF(W4&lt;=0.001, TRUE, FALSE)</formula>
    </cfRule>
  </conditionalFormatting>
  <conditionalFormatting sqref="R30:S30">
    <cfRule type="expression" dxfId="4" priority="1" stopIfTrue="1">
      <formula>IF(W4&lt;=0.001, TRUE, FALSE)</formula>
    </cfRule>
  </conditionalFormatting>
  <dataValidations count="4">
    <dataValidation type="list" showInputMessage="1" showErrorMessage="1" sqref="AG34 S33:S34" xr:uid="{00000000-0002-0000-0300-000000000000}">
      <formula1>QRange</formula1>
    </dataValidation>
    <dataValidation type="list" allowBlank="1" showInputMessage="1" showErrorMessage="1" sqref="B32:G32" xr:uid="{00000000-0002-0000-0300-000001000000}">
      <formula1>ValidWaters</formula1>
    </dataValidation>
    <dataValidation type="decimal" allowBlank="1" showInputMessage="1" showErrorMessage="1" sqref="AC30:AD31 AE30:AG30 O4:P4" xr:uid="{00000000-0002-0000-0300-000002000000}">
      <formula1>0</formula1>
      <formula2>14</formula2>
    </dataValidation>
    <dataValidation type="list" allowBlank="1" showInputMessage="1" showErrorMessage="1" sqref="AG3" xr:uid="{00000000-0002-0000-0300-000003000000}">
      <formula1>QRange</formula1>
    </dataValidation>
  </dataValidations>
  <pageMargins left="0.7" right="0.7" top="0.75" bottom="0.75" header="0.3" footer="0.3"/>
  <pageSetup scale="76" orientation="landscape" r:id="rId1"/>
  <ignoredErrors>
    <ignoredError sqref="U31" evalError="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3">
    <tabColor rgb="FF00B050"/>
  </sheetPr>
  <dimension ref="C3:M32"/>
  <sheetViews>
    <sheetView showGridLines="0" showRowColHeaders="0" workbookViewId="0">
      <selection activeCell="G5" sqref="G5:J5"/>
    </sheetView>
  </sheetViews>
  <sheetFormatPr defaultRowHeight="15" x14ac:dyDescent="0.25"/>
  <cols>
    <col min="11" max="11" width="9.140625" customWidth="1"/>
    <col min="12" max="12" width="13.5703125" hidden="1" customWidth="1"/>
    <col min="13" max="13" width="16.140625" hidden="1" customWidth="1"/>
  </cols>
  <sheetData>
    <row r="3" spans="3:13" x14ac:dyDescent="0.25">
      <c r="C3" s="720" t="s">
        <v>748</v>
      </c>
      <c r="D3" s="721"/>
      <c r="E3" s="721"/>
      <c r="F3" s="721"/>
      <c r="G3" s="721"/>
      <c r="H3" s="721"/>
      <c r="I3" s="721"/>
      <c r="J3" s="722"/>
    </row>
    <row r="4" spans="3:13" x14ac:dyDescent="0.25">
      <c r="C4" s="713" t="s">
        <v>749</v>
      </c>
      <c r="D4" s="713"/>
      <c r="E4" s="713"/>
      <c r="F4" s="713"/>
      <c r="G4" s="712" t="s">
        <v>750</v>
      </c>
      <c r="H4" s="712"/>
      <c r="I4" s="712"/>
      <c r="J4" s="712"/>
      <c r="M4" s="99"/>
    </row>
    <row r="5" spans="3:13" x14ac:dyDescent="0.25">
      <c r="C5" s="726">
        <f>GravCalcs!S17</f>
        <v>1.0455114408558077</v>
      </c>
      <c r="D5" s="727"/>
      <c r="E5" s="727"/>
      <c r="F5" s="728"/>
      <c r="G5" s="729"/>
      <c r="H5" s="730"/>
      <c r="I5" s="730"/>
      <c r="J5" s="731"/>
    </row>
    <row r="7" spans="3:13" x14ac:dyDescent="0.25">
      <c r="C7" s="720" t="str">
        <f>IF(Brewhouse!AA17="Plato", "Refractometer Readings and Conversions to °Plato", "Refractometer Readings and Conversions to Specific Gravity")</f>
        <v>Refractometer Readings and Conversions to Specific Gravity</v>
      </c>
      <c r="D7" s="721"/>
      <c r="E7" s="721"/>
      <c r="F7" s="721"/>
      <c r="G7" s="721"/>
      <c r="H7" s="721"/>
      <c r="I7" s="721"/>
      <c r="J7" s="722"/>
    </row>
    <row r="8" spans="3:13" x14ac:dyDescent="0.25">
      <c r="C8" s="713" t="s">
        <v>752</v>
      </c>
      <c r="D8" s="713"/>
      <c r="E8" s="713"/>
      <c r="F8" s="713"/>
      <c r="G8" s="713" t="str">
        <f>IF(Brewhouse!AA17="Plato", "Original Gravity Plato", "Original Gravity")</f>
        <v>Original Gravity</v>
      </c>
      <c r="H8" s="713"/>
      <c r="I8" s="713"/>
      <c r="J8" s="713"/>
      <c r="L8" s="1" t="s">
        <v>827</v>
      </c>
      <c r="M8" s="306">
        <f>((C9/IF(G5&lt;&gt;"",G5,C5))/(258.6-(((C9/IF(G5&lt;&gt;"",G5,C5))/258.2)*227.1))+1)</f>
        <v>1</v>
      </c>
    </row>
    <row r="9" spans="3:13" x14ac:dyDescent="0.25">
      <c r="C9" s="714"/>
      <c r="D9" s="715"/>
      <c r="E9" s="715"/>
      <c r="F9" s="716"/>
      <c r="G9" s="723">
        <f>IF(Brewhouse!AA17="Plato", ROUND(M9, 2), M8)</f>
        <v>1</v>
      </c>
      <c r="H9" s="724"/>
      <c r="I9" s="724"/>
      <c r="J9" s="725"/>
      <c r="L9" s="1" t="s">
        <v>828</v>
      </c>
      <c r="M9">
        <f>(-1 * 616.868) + (1111.14 * M8) - (630.272 * M8^2) + (135.997 * M8^3)</f>
        <v>-2.9999999999859028E-3</v>
      </c>
    </row>
    <row r="10" spans="3:13" x14ac:dyDescent="0.25">
      <c r="C10" s="712" t="s">
        <v>753</v>
      </c>
      <c r="D10" s="712"/>
      <c r="E10" s="712"/>
      <c r="F10" s="712"/>
      <c r="G10" s="713" t="str">
        <f>IF(Brewhouse!AA17="Plato", "Final Gravity Plato", "Final Gravity")</f>
        <v>Final Gravity</v>
      </c>
      <c r="H10" s="713"/>
      <c r="I10" s="713"/>
      <c r="J10" s="713"/>
      <c r="L10" t="s">
        <v>773</v>
      </c>
      <c r="M10" t="s">
        <v>775</v>
      </c>
    </row>
    <row r="11" spans="3:13" x14ac:dyDescent="0.25">
      <c r="C11" s="714"/>
      <c r="D11" s="715"/>
      <c r="E11" s="715"/>
      <c r="F11" s="716"/>
      <c r="G11" s="717" t="e">
        <f>IF(Brewhouse!AA17="Plato", ROUND(M17, 2), M16)</f>
        <v>#VALUE!</v>
      </c>
      <c r="H11" s="718"/>
      <c r="I11" s="718"/>
      <c r="J11" s="719"/>
      <c r="L11" t="str">
        <f>IF(C9=0, "NaN", 1 - 0.0044993*(C9/IF(G5&lt;&gt;"",G5,C5)) + 0.0117741*(C11/IF(G5&lt;&gt;"",G5,C5)) + 0.000275806*(C9/IF(G5&lt;&gt;"",G5,C5))^2 - 0.00127169*(C11/IF(G5&lt;&gt;"",G5,C5))^2 - 0.00000727999*(C9/IF(G5&lt;&gt;"",G5,C5))^3 + 0.0000632929*(C11/IF(G5&lt;&gt;"",G5,C5))^3)</f>
        <v>NaN</v>
      </c>
      <c r="M11">
        <f>((((1.22*M8)-1.22))-M8)*-1</f>
        <v>1</v>
      </c>
    </row>
    <row r="13" spans="3:13" x14ac:dyDescent="0.25">
      <c r="C13" s="720" t="s">
        <v>754</v>
      </c>
      <c r="D13" s="721"/>
      <c r="E13" s="721"/>
      <c r="F13" s="721"/>
      <c r="G13" s="721"/>
      <c r="H13" s="721"/>
      <c r="I13" s="721"/>
      <c r="J13" s="722"/>
      <c r="L13" t="s">
        <v>774</v>
      </c>
    </row>
    <row r="14" spans="3:13" x14ac:dyDescent="0.25">
      <c r="C14" s="710" t="s">
        <v>757</v>
      </c>
      <c r="D14" s="710"/>
      <c r="E14" s="710"/>
      <c r="F14" s="711"/>
      <c r="G14" s="290" t="e">
        <f>(M8-M16)/(M8-1)</f>
        <v>#VALUE!</v>
      </c>
      <c r="H14" s="288"/>
      <c r="I14" s="288"/>
      <c r="J14" s="289"/>
      <c r="L14" t="e">
        <f>(M8-L11)/(M8-1)</f>
        <v>#VALUE!</v>
      </c>
    </row>
    <row r="15" spans="3:13" x14ac:dyDescent="0.25">
      <c r="C15" s="710" t="s">
        <v>755</v>
      </c>
      <c r="D15" s="710"/>
      <c r="E15" s="710"/>
      <c r="F15" s="711"/>
      <c r="G15" s="290" t="e">
        <f>(131.25*((M8)-(M16)))/100</f>
        <v>#VALUE!</v>
      </c>
      <c r="H15" s="288"/>
      <c r="I15" s="288"/>
      <c r="J15" s="289"/>
    </row>
    <row r="16" spans="3:13" x14ac:dyDescent="0.25">
      <c r="C16" s="710" t="s">
        <v>756</v>
      </c>
      <c r="D16" s="710"/>
      <c r="E16" s="710"/>
      <c r="F16" s="711"/>
      <c r="G16" s="290" t="e">
        <f xml:space="preserve"> ((76.08 * (M8-M16) / (1.775-M8)) * (M16 / 0.794))/100</f>
        <v>#VALUE!</v>
      </c>
      <c r="H16" s="288"/>
      <c r="I16" s="288"/>
      <c r="J16" s="289"/>
      <c r="L16" s="1" t="s">
        <v>829</v>
      </c>
      <c r="M16" t="e">
        <f xml:space="preserve"> IF(L14&gt;1.22, M11,  IF(C9=0, "NaN", 1 - 0.0044993*(C9/IF(G5&lt;&gt;"",G5,C5)) + 0.0117741*(C11/IF(G5&lt;&gt;"",G5,C5)) + 0.000275806*(C9/IF(G5&lt;&gt;"",G5,C5))^2 - 0.00127169*(C11/IF(G5&lt;&gt;"",G5,C5))^2 - 0.00000727999*(C9/IF(G5&lt;&gt;"",G5,C5))^3 + 0.0000632929*(C11/IF(G5&lt;&gt;"",G5,C5))^3))</f>
        <v>#VALUE!</v>
      </c>
    </row>
    <row r="17" spans="3:13" x14ac:dyDescent="0.25">
      <c r="L17" s="1" t="s">
        <v>830</v>
      </c>
      <c r="M17" t="e">
        <f>(-1 * 616.868) + (1111.14 * M16) - (630.272 * M16^2) + (135.997 * M16^3)</f>
        <v>#VALUE!</v>
      </c>
    </row>
    <row r="21" spans="3:13" x14ac:dyDescent="0.25">
      <c r="C21" s="102" t="s">
        <v>758</v>
      </c>
      <c r="D21" s="102"/>
      <c r="E21" s="102"/>
    </row>
    <row r="22" spans="3:13" x14ac:dyDescent="0.25">
      <c r="C22" s="102" t="s">
        <v>764</v>
      </c>
      <c r="D22" s="102"/>
      <c r="E22" s="102"/>
    </row>
    <row r="23" spans="3:13" x14ac:dyDescent="0.25">
      <c r="C23" s="102" t="s">
        <v>759</v>
      </c>
      <c r="D23" s="102"/>
      <c r="E23" s="102"/>
    </row>
    <row r="24" spans="3:13" x14ac:dyDescent="0.25">
      <c r="C24" s="102"/>
      <c r="D24" s="102" t="s">
        <v>760</v>
      </c>
      <c r="E24" s="102"/>
    </row>
    <row r="25" spans="3:13" x14ac:dyDescent="0.25">
      <c r="C25" s="102"/>
      <c r="D25" s="102" t="s">
        <v>765</v>
      </c>
      <c r="E25" s="102"/>
    </row>
    <row r="26" spans="3:13" x14ac:dyDescent="0.25">
      <c r="C26" s="102"/>
      <c r="D26" s="102" t="s">
        <v>776</v>
      </c>
      <c r="E26" s="102"/>
    </row>
    <row r="27" spans="3:13" x14ac:dyDescent="0.25">
      <c r="C27" s="102" t="s">
        <v>767</v>
      </c>
      <c r="D27" s="102"/>
      <c r="E27" s="102"/>
    </row>
    <row r="28" spans="3:13" x14ac:dyDescent="0.25">
      <c r="C28" s="102"/>
      <c r="D28" s="291" t="s">
        <v>766</v>
      </c>
      <c r="E28" s="102"/>
    </row>
    <row r="29" spans="3:13" x14ac:dyDescent="0.25">
      <c r="C29" s="102" t="s">
        <v>761</v>
      </c>
      <c r="D29" s="102"/>
      <c r="E29" s="102"/>
    </row>
    <row r="30" spans="3:13" x14ac:dyDescent="0.25">
      <c r="C30" s="102" t="s">
        <v>763</v>
      </c>
      <c r="D30" s="102"/>
      <c r="E30" s="102"/>
    </row>
    <row r="31" spans="3:13" x14ac:dyDescent="0.25">
      <c r="C31" s="102"/>
      <c r="D31" s="291" t="s">
        <v>762</v>
      </c>
      <c r="E31" s="102"/>
    </row>
    <row r="32" spans="3:13" x14ac:dyDescent="0.25">
      <c r="C32" s="102" t="s">
        <v>768</v>
      </c>
    </row>
  </sheetData>
  <sheetProtection password="CB17" sheet="1"/>
  <mergeCells count="18">
    <mergeCell ref="C3:J3"/>
    <mergeCell ref="C4:F4"/>
    <mergeCell ref="G4:J4"/>
    <mergeCell ref="C5:F5"/>
    <mergeCell ref="G5:J5"/>
    <mergeCell ref="C7:J7"/>
    <mergeCell ref="C8:F8"/>
    <mergeCell ref="G8:J8"/>
    <mergeCell ref="C9:F9"/>
    <mergeCell ref="G9:J9"/>
    <mergeCell ref="C14:F14"/>
    <mergeCell ref="C15:F15"/>
    <mergeCell ref="C16:F16"/>
    <mergeCell ref="C10:F10"/>
    <mergeCell ref="G10:J10"/>
    <mergeCell ref="C11:F11"/>
    <mergeCell ref="G11:J11"/>
    <mergeCell ref="C13:J13"/>
  </mergeCells>
  <conditionalFormatting sqref="G5:J5">
    <cfRule type="containsBlanks" dxfId="3" priority="2" stopIfTrue="1">
      <formula>LEN(TRIM(G5))=0</formula>
    </cfRule>
  </conditionalFormatting>
  <dataValidations count="2">
    <dataValidation type="decimal" allowBlank="1" showInputMessage="1" showErrorMessage="1" sqref="G5:J5" xr:uid="{00000000-0002-0000-0400-000000000000}">
      <formula1>1</formula1>
      <formula2>2</formula2>
    </dataValidation>
    <dataValidation type="decimal" allowBlank="1" showInputMessage="1" showErrorMessage="1" sqref="C9:F9 C11:F11" xr:uid="{00000000-0002-0000-0400-000001000000}">
      <formula1>0</formula1>
      <formula2>50</formula2>
    </dataValidation>
  </dataValidations>
  <hyperlinks>
    <hyperlink ref="D31" r:id="rId1" xr:uid="{00000000-0004-0000-0400-000000000000}"/>
    <hyperlink ref="D28" r:id="rId2" xr:uid="{00000000-0004-0000-0400-000001000000}"/>
  </hyperlinks>
  <pageMargins left="0.7" right="0.7" top="0.75" bottom="0.75" header="0.3" footer="0.3"/>
  <pageSetup orientation="portrait" horizontalDpi="0" verticalDpi="0" r:id="rId3"/>
  <ignoredErrors>
    <ignoredError sqref="G14:G16" evalError="1"/>
  </ignoredErrors>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rgb="FF00B050"/>
  </sheetPr>
  <dimension ref="B3:N18"/>
  <sheetViews>
    <sheetView showGridLines="0" showRowColHeaders="0" workbookViewId="0">
      <selection activeCell="G6" sqref="G6"/>
    </sheetView>
  </sheetViews>
  <sheetFormatPr defaultRowHeight="15" x14ac:dyDescent="0.25"/>
  <cols>
    <col min="10" max="10" width="9.140625" hidden="1" customWidth="1"/>
    <col min="11" max="11" width="12.7109375" hidden="1" customWidth="1"/>
    <col min="12" max="12" width="0" hidden="1" customWidth="1"/>
    <col min="13" max="13" width="13.140625" hidden="1" customWidth="1"/>
    <col min="14" max="14" width="0" hidden="1" customWidth="1"/>
  </cols>
  <sheetData>
    <row r="3" spans="2:14" x14ac:dyDescent="0.25">
      <c r="B3" s="737" t="s">
        <v>1109</v>
      </c>
      <c r="C3" s="537"/>
      <c r="D3" s="537"/>
      <c r="E3" s="537"/>
      <c r="F3" s="537"/>
      <c r="G3" s="538"/>
    </row>
    <row r="4" spans="2:14" x14ac:dyDescent="0.25">
      <c r="B4" s="732" t="str">
        <f>IF(Brewhouse!V17 = "Metric", "Hydrometer Calibration Temperature (Degrees C)",  "Hydrometer Calibration Temperature (Degrees F)")</f>
        <v>Hydrometer Calibration Temperature (Degrees F)</v>
      </c>
      <c r="C4" s="733"/>
      <c r="D4" s="733"/>
      <c r="E4" s="733"/>
      <c r="F4" s="734"/>
      <c r="G4" s="413">
        <v>60</v>
      </c>
      <c r="H4" s="406"/>
      <c r="J4" t="s">
        <v>1111</v>
      </c>
      <c r="L4">
        <f>(G4*(9/5))+32</f>
        <v>140</v>
      </c>
      <c r="M4" t="s">
        <v>1110</v>
      </c>
      <c r="N4">
        <f>IF(Brewhouse!V17="Metric", L4, G4)</f>
        <v>60</v>
      </c>
    </row>
    <row r="5" spans="2:14" x14ac:dyDescent="0.25">
      <c r="B5" s="711" t="str">
        <f>IF(Brewhouse!V17 = "Metric", "Wort Temperature (Degrees C)",  "Wort Temperature (Degrees F)")</f>
        <v>Wort Temperature (Degrees F)</v>
      </c>
      <c r="C5" s="735"/>
      <c r="D5" s="735"/>
      <c r="E5" s="735"/>
      <c r="F5" s="736"/>
      <c r="G5" s="413">
        <v>147</v>
      </c>
      <c r="H5" s="410"/>
      <c r="J5" t="s">
        <v>1111</v>
      </c>
      <c r="L5">
        <f>(G5*(9/5))+32</f>
        <v>296.60000000000002</v>
      </c>
      <c r="M5" t="s">
        <v>1110</v>
      </c>
      <c r="N5">
        <f>IF(Brewhouse!V17="Metric", L5, G5)</f>
        <v>147</v>
      </c>
    </row>
    <row r="6" spans="2:14" x14ac:dyDescent="0.25">
      <c r="B6" s="711" t="str">
        <f>IF(Brewhouse!AA17 = "Plato", "Hydrometer Reading (Plato)",  "Hydrometer Reading (Specific Gravity)")</f>
        <v>Hydrometer Reading (Specific Gravity)</v>
      </c>
      <c r="C6" s="735"/>
      <c r="D6" s="735"/>
      <c r="E6" s="735"/>
      <c r="F6" s="736"/>
      <c r="G6" s="412">
        <v>1.03</v>
      </c>
      <c r="J6" t="s">
        <v>1112</v>
      </c>
      <c r="L6">
        <f>(G6/(258.6-((G6/258.2)*227.1))+1)</f>
        <v>1.0039969877033255</v>
      </c>
      <c r="M6" t="s">
        <v>1113</v>
      </c>
      <c r="N6">
        <f>IF(Brewhouse!AA17="Plato", L6, G6)</f>
        <v>1.03</v>
      </c>
    </row>
    <row r="8" spans="2:14" x14ac:dyDescent="0.25">
      <c r="B8" s="732" t="str">
        <f>IF(Brewhouse!AA17 = "Plato", "Corrected Hydrometer Reading (Plato):",  "Corrected Hydrometer Reading (Specific Gravity):")</f>
        <v>Corrected Hydrometer Reading (Specific Gravity):</v>
      </c>
      <c r="C8" s="733"/>
      <c r="D8" s="733"/>
      <c r="E8" s="733"/>
      <c r="F8" s="733"/>
      <c r="G8" s="411">
        <f>IF(Brewhouse!AA17 = "Plato", N9, N8)</f>
        <v>1.0486771390571274</v>
      </c>
      <c r="L8" t="s">
        <v>1114</v>
      </c>
      <c r="N8">
        <f>N6*((1.00130346-0.000134722124*N5+0.00000204052596*N5^2-0.00000000232820948*N5^3)/(1.00130346-0.000134722124*N4+0.00000204052596*N4^2-0.00000000232820948*N4^3))</f>
        <v>1.0486771390571274</v>
      </c>
    </row>
    <row r="9" spans="2:14" x14ac:dyDescent="0.25">
      <c r="B9" s="1"/>
      <c r="K9" s="1"/>
      <c r="L9" t="s">
        <v>1115</v>
      </c>
      <c r="N9">
        <f xml:space="preserve">  (-1*616.868) + (1111.14*N8) - (630.272*N8^2) + (135.997*N8^3)</f>
        <v>12.073274279786375</v>
      </c>
    </row>
    <row r="10" spans="2:14" x14ac:dyDescent="0.25">
      <c r="K10" s="1"/>
    </row>
    <row r="11" spans="2:14" x14ac:dyDescent="0.25">
      <c r="M11" t="s">
        <v>1116</v>
      </c>
      <c r="N11" t="str">
        <f>Brewhouse!AA17</f>
        <v>Specific Gravity</v>
      </c>
    </row>
    <row r="16" spans="2:14" x14ac:dyDescent="0.25">
      <c r="G16" s="187"/>
    </row>
    <row r="17" spans="11:11" x14ac:dyDescent="0.25">
      <c r="K17" s="1"/>
    </row>
    <row r="18" spans="11:11" x14ac:dyDescent="0.25">
      <c r="K18" s="1"/>
    </row>
  </sheetData>
  <sheetProtection password="CB17" sheet="1"/>
  <mergeCells count="5">
    <mergeCell ref="B4:F4"/>
    <mergeCell ref="B5:F5"/>
    <mergeCell ref="B6:F6"/>
    <mergeCell ref="B3:G3"/>
    <mergeCell ref="B8:F8"/>
  </mergeCells>
  <conditionalFormatting sqref="G8">
    <cfRule type="expression" dxfId="2" priority="1">
      <formula>IF(N11="Specific Gravity", TRUE, FALSE)</formula>
    </cfRule>
    <cfRule type="expression" dxfId="1" priority="3">
      <formula>IF(N11="Plato", TRUE, FALSE)</formula>
    </cfRule>
  </conditionalFormatting>
  <conditionalFormatting sqref="I16">
    <cfRule type="expression" dxfId="0" priority="2" stopIfTrue="1">
      <formula>IF(N11="Specific Gravity", TRUE, FALSE)</formula>
    </cfRule>
  </conditionalFormatting>
  <dataValidations count="2">
    <dataValidation type="whole" allowBlank="1" showInputMessage="1" showErrorMessage="1" sqref="G4" xr:uid="{00000000-0002-0000-0500-000000000000}">
      <formula1>0</formula1>
      <formula2>100</formula2>
    </dataValidation>
    <dataValidation type="whole" allowBlank="1" showInputMessage="1" showErrorMessage="1" sqref="G5" xr:uid="{00000000-0002-0000-0500-000001000000}">
      <formula1>0</formula1>
      <formula2>200</formula2>
    </dataValidation>
  </dataValidations>
  <pageMargins left="0.7" right="0.7" top="0.75" bottom="0.75" header="0.3" footer="0.3"/>
  <pageSetup orientation="portrait" horizontalDpi="0" verticalDpi="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rgb="FF00B050"/>
    <pageSetUpPr fitToPage="1"/>
  </sheetPr>
  <dimension ref="A1:S61"/>
  <sheetViews>
    <sheetView showGridLines="0" tabSelected="1" topLeftCell="A22" zoomScaleNormal="100" workbookViewId="0">
      <selection activeCell="H33" sqref="H33"/>
    </sheetView>
  </sheetViews>
  <sheetFormatPr defaultRowHeight="15" x14ac:dyDescent="0.25"/>
  <cols>
    <col min="1" max="1" width="16.7109375" customWidth="1"/>
    <col min="2" max="2" width="5.28515625" customWidth="1"/>
    <col min="3" max="3" width="7.5703125" customWidth="1"/>
    <col min="4" max="4" width="9.42578125" customWidth="1"/>
    <col min="5" max="5" width="17.140625" customWidth="1"/>
    <col min="6" max="6" width="5.140625" customWidth="1"/>
    <col min="7" max="7" width="6.28515625" customWidth="1"/>
    <col min="8" max="8" width="8.28515625" customWidth="1"/>
    <col min="9" max="9" width="7.5703125" customWidth="1"/>
    <col min="10" max="10" width="0" hidden="1" customWidth="1"/>
  </cols>
  <sheetData>
    <row r="1" spans="1:19" x14ac:dyDescent="0.25">
      <c r="A1" s="101" t="str">
        <f>Recipe!H9</f>
        <v>08-English IPA</v>
      </c>
      <c r="B1" s="102"/>
      <c r="C1" s="738">
        <f>IF(Recipe!M9&gt;0, Recipe!M9, "")</f>
        <v>43202</v>
      </c>
      <c r="D1" s="738"/>
      <c r="E1" s="103" t="str">
        <f>IF(Recipe!X3&gt;0, Recipe!X3, "")</f>
        <v>Burton Ale</v>
      </c>
      <c r="F1" s="104"/>
      <c r="G1" s="102"/>
      <c r="H1" s="102"/>
      <c r="I1" s="102"/>
    </row>
    <row r="2" spans="1:19" ht="6.75" customHeight="1" x14ac:dyDescent="0.25">
      <c r="A2" s="102"/>
      <c r="B2" s="102"/>
      <c r="C2" s="102"/>
      <c r="D2" s="102"/>
      <c r="E2" s="102"/>
      <c r="F2" s="102"/>
      <c r="G2" s="102"/>
      <c r="H2" s="102"/>
      <c r="I2" s="102"/>
    </row>
    <row r="3" spans="1:19" ht="12.75" customHeight="1" x14ac:dyDescent="0.25">
      <c r="A3" s="102" t="str">
        <f>CONCATENATE("Original Gravity: ", ROUND(Recipe!G52, 3))</f>
        <v>Original Gravity: 1.064</v>
      </c>
      <c r="B3" s="102"/>
      <c r="C3" s="102"/>
      <c r="D3" s="102" t="str">
        <f>CONCATENATE("Final Gravity: ", ROUND(Recipe!G54, 3))</f>
        <v>Final Gravity: 1.016</v>
      </c>
      <c r="E3" s="102"/>
      <c r="F3" s="102"/>
      <c r="G3" s="102"/>
      <c r="H3" s="102"/>
      <c r="I3" s="102"/>
    </row>
    <row r="4" spans="1:19" ht="12.75" customHeight="1" x14ac:dyDescent="0.25">
      <c r="A4" s="105" t="str">
        <f>CONCATENATE("ADF: ", ROUND(Recipe!G53, 2)*100, "%")</f>
        <v>ADF: 75%</v>
      </c>
      <c r="B4" s="102"/>
      <c r="C4" s="102"/>
      <c r="D4" s="102" t="str">
        <f>CONCATENATE("ABV: ", ROUND(Recipe!G55, 3)*100, "% (traditional), ",  ROUND(Recipe!M50, 3)*100, "% (more accurate)")</f>
        <v>ABV: 6.3% (traditional), 6.6% (more accurate)</v>
      </c>
      <c r="E4" s="102"/>
      <c r="F4" s="102"/>
      <c r="G4" s="102"/>
      <c r="H4" s="102"/>
      <c r="I4" s="102"/>
    </row>
    <row r="5" spans="1:19" ht="12.75" customHeight="1" x14ac:dyDescent="0.25">
      <c r="A5" s="102" t="str">
        <f>IF(Brewhouse!O32="Rager",      CONCATENATE("Rager IBUs: ", ROUND(Recipe!M51, 0)),                    CONCATENATE("Tinseth IBUs: ", ROUND(Recipe!M51, 0))             )</f>
        <v>Tinseth IBUs: 42</v>
      </c>
      <c r="B5" s="102"/>
      <c r="C5" s="102"/>
      <c r="D5" s="102" t="str">
        <f xml:space="preserve"> IF(Brewhouse!O32="Rager",        CONCATENATE("(Modified Rager IBUs: ", ROUND(Recipe!M52, 0), ")"),                                CONCATENATE("(Modified Tinseth IBUs: ", ROUND(Recipe!M52, 0), ")"))</f>
        <v>(Modified Tinseth IBUs: 50)</v>
      </c>
      <c r="E5" s="102"/>
      <c r="F5" s="102"/>
      <c r="G5" s="102"/>
      <c r="H5" s="102"/>
      <c r="I5" s="102"/>
    </row>
    <row r="6" spans="1:19" ht="6" customHeight="1" x14ac:dyDescent="0.25">
      <c r="A6" s="102"/>
      <c r="B6" s="102"/>
      <c r="C6" s="102"/>
      <c r="D6" s="102"/>
      <c r="E6" s="102"/>
      <c r="F6" s="102"/>
      <c r="G6" s="102"/>
      <c r="H6" s="102"/>
      <c r="I6" s="102"/>
    </row>
    <row r="7" spans="1:19" ht="9" customHeight="1" x14ac:dyDescent="0.25">
      <c r="A7" s="102"/>
      <c r="B7" s="102"/>
      <c r="C7" s="102"/>
      <c r="D7" s="102"/>
      <c r="E7" s="102"/>
      <c r="F7" s="102"/>
      <c r="G7" s="102"/>
      <c r="H7" s="102"/>
      <c r="I7" s="102"/>
    </row>
    <row r="8" spans="1:19" ht="12.75" customHeight="1" x14ac:dyDescent="0.25">
      <c r="A8" s="744" t="s">
        <v>355</v>
      </c>
      <c r="B8" s="744"/>
      <c r="C8" s="744"/>
      <c r="D8" s="744"/>
      <c r="E8" s="102"/>
      <c r="F8" s="739" t="s">
        <v>969</v>
      </c>
      <c r="G8" s="740"/>
      <c r="H8" s="740"/>
      <c r="I8" s="741"/>
    </row>
    <row r="9" spans="1:19" ht="12.75" customHeight="1" x14ac:dyDescent="0.25">
      <c r="A9" s="439" t="str">
        <f>IF(Brewhouse!V17="Metric", "Kilograms", "Pounds")</f>
        <v>Pounds</v>
      </c>
      <c r="B9" s="106" t="s">
        <v>352</v>
      </c>
      <c r="C9" s="102"/>
      <c r="D9" s="102"/>
      <c r="E9" s="102"/>
      <c r="F9" s="742" t="str">
        <f>CONCATENATE("Fermentables: ",  ROUND(SUM(A10:A24), 2), IF(Brewhouse!V17="Metric", " Kilograms", " Pounds")                            )</f>
        <v>Fermentables: 12.54 Pounds</v>
      </c>
      <c r="G9" s="611"/>
      <c r="H9" s="611"/>
      <c r="I9" s="743"/>
    </row>
    <row r="10" spans="1:19" ht="12.75" customHeight="1" x14ac:dyDescent="0.25">
      <c r="A10" s="442">
        <f>IF(Recipe!B13&gt;0, Recipe!B13, "")</f>
        <v>10</v>
      </c>
      <c r="B10" s="102" t="str">
        <f>IF(Recipe!D13&lt;&gt; "---Select Grain/Fermentable---",Recipe!D13, "")</f>
        <v>Pale Ale Malt, Briess</v>
      </c>
      <c r="C10" s="102"/>
      <c r="D10" s="102"/>
      <c r="E10" s="102"/>
      <c r="F10" s="742" t="str">
        <f>CONCATENATE("Mash Efficiency: ",Recipe!B6*100, "%")</f>
        <v>Mash Efficiency: 70%</v>
      </c>
      <c r="G10" s="611"/>
      <c r="H10" s="611"/>
      <c r="I10" s="743"/>
      <c r="M10" s="107"/>
      <c r="P10" s="440"/>
      <c r="Q10" s="440"/>
      <c r="R10" s="440"/>
      <c r="S10" s="440"/>
    </row>
    <row r="11" spans="1:19" ht="12.75" customHeight="1" x14ac:dyDescent="0.25">
      <c r="A11" s="442">
        <f>IF(Recipe!B14&gt;0, Recipe!B14, "")</f>
        <v>1.66</v>
      </c>
      <c r="B11" s="102" t="str">
        <f>IF(Recipe!D14&lt;&gt; "---Select Grain/Fermentable---",Recipe!D14, "")</f>
        <v>Munich (9 srm)</v>
      </c>
      <c r="C11" s="102"/>
      <c r="D11" s="102"/>
      <c r="E11" s="102"/>
      <c r="F11" s="742" t="str">
        <f>CONCATENATE("Total Water Needed: ", ROUND((IF(Brewhouse!V17="Metric", 'Total H2O Sub'!J24 / 0.264172051,  'Total H2O Sub'!J24)  +  Brewhouse!C5)+IF(Brewhouse!C11="N", IF(Brewhouse!V17="Metric", ('Total H2O Sub'!J25 / 0.264172051)+Brewhouse!C8,  'Total H2O Sub'!J25  +  Brewhouse!C8),  IF(Brewhouse!V17="Metric", ('Total H2O Sub'!J25 / 0.264172051),  'Total H2O Sub'!J25)), 2), IF(Brewhouse!V17="Metric", " Liters", " Gallons")                              )</f>
        <v>Total Water Needed: 7.78 Gallons</v>
      </c>
      <c r="G11" s="611"/>
      <c r="H11" s="611"/>
      <c r="I11" s="743"/>
      <c r="M11" s="107"/>
      <c r="P11" s="440"/>
      <c r="Q11" s="440"/>
      <c r="R11" s="440"/>
      <c r="S11" s="440"/>
    </row>
    <row r="12" spans="1:19" ht="12.75" customHeight="1" x14ac:dyDescent="0.25">
      <c r="A12" s="442">
        <f>IF(Recipe!B15&gt;0, Recipe!B15, "")</f>
        <v>0.62249999999999994</v>
      </c>
      <c r="B12" s="102" t="str">
        <f>IF(Recipe!D15&lt;&gt; "---Select Grain/Fermentable---",Recipe!D15, "")</f>
        <v>British Dark Crystal 75/85L</v>
      </c>
      <c r="C12" s="102"/>
      <c r="D12" s="102"/>
      <c r="E12" s="102"/>
      <c r="F12" s="742" t="str">
        <f>CONCATENATE("Pre-Boil: ",                    IF(Brewhouse!V17="METRIC",ROUND('Total H2O Sub'!D23*3.78541,2),ROUND('Total H2O Sub'!D23,2)), IF(Brewhouse!V17="METRIC", " Liters", " Gallons" )   &amp; " @ " &amp; ROUND(Recipe!G51, 3)   &amp; IF(Brewhouse!AA17="Plato", "P", "")    )</f>
        <v>Pre-Boil: 6.21 Gallons @ 1.051</v>
      </c>
      <c r="G12" s="611"/>
      <c r="H12" s="611"/>
      <c r="I12" s="743"/>
      <c r="M12" s="107"/>
      <c r="P12" s="440"/>
      <c r="Q12" s="440"/>
      <c r="R12" s="440"/>
      <c r="S12" s="440"/>
    </row>
    <row r="13" spans="1:19" ht="12.75" customHeight="1" x14ac:dyDescent="0.25">
      <c r="A13" s="442">
        <f>IF(Recipe!B16&gt;0, Recipe!B16, "")</f>
        <v>0.25729999999999997</v>
      </c>
      <c r="B13" s="102" t="str">
        <f>IF(Recipe!D16&lt;&gt; "---Select Grain/Fermentable---",Recipe!D16, "")</f>
        <v>Chocolate (US, 350 SRM)</v>
      </c>
      <c r="C13" s="102"/>
      <c r="D13" s="102"/>
      <c r="E13" s="102"/>
      <c r="F13" s="742" t="str">
        <f>CONCATENATE("Boil-Off Rate: ",                    Brewhouse!O5, IF(Brewhouse!V17="METRIC", " Liters/Hr", " Gallons/Hr" )         )</f>
        <v>Boil-Off Rate: 1.2 Gallons/Hr</v>
      </c>
      <c r="G13" s="611"/>
      <c r="H13" s="611"/>
      <c r="I13" s="743"/>
      <c r="M13" s="107"/>
      <c r="P13" s="440"/>
      <c r="Q13" s="440"/>
      <c r="R13" s="440"/>
      <c r="S13" s="440"/>
    </row>
    <row r="14" spans="1:19" ht="12.75" customHeight="1" x14ac:dyDescent="0.25">
      <c r="A14" s="442" t="str">
        <f>IF(Recipe!B17&gt;0, Recipe!B17, "")</f>
        <v/>
      </c>
      <c r="B14" s="102" t="str">
        <f>IF(Recipe!D17&lt;&gt; "---Select Grain/Fermentable---",Recipe!D17, "")</f>
        <v/>
      </c>
      <c r="C14" s="102"/>
      <c r="D14" s="102"/>
      <c r="E14" s="102"/>
      <c r="F14" s="747" t="str">
        <f>CONCATENATE("Post-Boil Volume: ",                    IF(Brewhouse!V17="METRIC",ROUND('Total H2O Sub'!D27*3.78541,2),ROUND('Total H2O Sub'!D27,2)), IF(Brewhouse!V17="METRIC", " Liters", " Gallons" )         )</f>
        <v>Post-Boil Volume: 5.01 Gallons</v>
      </c>
      <c r="G14" s="748"/>
      <c r="H14" s="748"/>
      <c r="I14" s="749"/>
      <c r="M14" s="107"/>
      <c r="P14" s="440"/>
      <c r="Q14" s="440"/>
      <c r="R14" s="440"/>
      <c r="S14" s="440"/>
    </row>
    <row r="15" spans="1:19" ht="12.75" customHeight="1" x14ac:dyDescent="0.25">
      <c r="A15" s="442" t="str">
        <f>IF(Recipe!B18&gt;0, Recipe!B18, "")</f>
        <v/>
      </c>
      <c r="B15" s="102" t="str">
        <f>IF(Recipe!D18&lt;&gt; "---Select Grain/Fermentable---",Recipe!D18, "")</f>
        <v/>
      </c>
      <c r="C15" s="102"/>
      <c r="D15" s="102"/>
      <c r="E15" s="102"/>
      <c r="F15" s="102"/>
      <c r="G15" s="102"/>
      <c r="H15" s="102"/>
      <c r="I15" s="102"/>
      <c r="P15" s="440"/>
      <c r="Q15" s="440"/>
      <c r="R15" s="440"/>
      <c r="S15" s="440"/>
    </row>
    <row r="16" spans="1:19" ht="12.75" customHeight="1" x14ac:dyDescent="0.25">
      <c r="A16" s="442" t="str">
        <f>IF(Recipe!B19&gt;0, Recipe!B19, "")</f>
        <v/>
      </c>
      <c r="B16" s="102" t="str">
        <f>IF(Recipe!D19&lt;&gt; "---Select Grain/Fermentable---",Recipe!D19, "")</f>
        <v/>
      </c>
      <c r="C16" s="102"/>
      <c r="D16" s="102"/>
      <c r="E16" s="102"/>
      <c r="F16" s="744" t="s">
        <v>1040</v>
      </c>
      <c r="G16" s="745"/>
      <c r="H16" s="745"/>
      <c r="I16" s="745"/>
      <c r="J16" t="str">
        <f>IF(Recipe!X19&lt;&gt;"", "Y", IF(Recipe!X20&lt;&gt;"", "Y", IF(Recipe!X21&lt;&gt;"", "Y", IF(Recipe!X22&lt;&gt;"", "Y", IF(Recipe!X23&lt;&gt;"", "Y", IF(Recipe!X24&lt;&gt;"", "Y", IF(Recipe!X25&lt;&gt;"", "Y", IF(Recipe!X26&lt;&gt;"", "Y", "N"))))))))</f>
        <v>N</v>
      </c>
      <c r="P16" s="440"/>
      <c r="Q16" s="440"/>
      <c r="R16" s="440"/>
      <c r="S16" s="440"/>
    </row>
    <row r="17" spans="1:19" ht="12.75" customHeight="1" x14ac:dyDescent="0.25">
      <c r="A17" s="442" t="str">
        <f>IF(Recipe!B20&gt;0, Recipe!B20, "")</f>
        <v/>
      </c>
      <c r="B17" s="102" t="str">
        <f>IF(Recipe!D20&lt;&gt; "---Select Grain/Fermentable---",Recipe!D20, "")</f>
        <v/>
      </c>
      <c r="C17" s="102"/>
      <c r="D17" s="102"/>
      <c r="E17" s="102"/>
      <c r="F17" s="750" t="s">
        <v>52</v>
      </c>
      <c r="G17" s="750"/>
      <c r="H17" s="106" t="s">
        <v>380</v>
      </c>
      <c r="I17" s="106" t="s">
        <v>144</v>
      </c>
      <c r="J17" t="str">
        <f>IF(Recipe!X27&lt;&gt;"", "Y", "N")</f>
        <v>N</v>
      </c>
      <c r="P17" s="440"/>
      <c r="Q17" s="440"/>
      <c r="R17" s="440"/>
      <c r="S17" s="440"/>
    </row>
    <row r="18" spans="1:19" ht="12.75" customHeight="1" x14ac:dyDescent="0.25">
      <c r="A18" s="442" t="str">
        <f>IF(Recipe!B21&gt;0, Recipe!B21, "")</f>
        <v/>
      </c>
      <c r="B18" s="102" t="str">
        <f>IF(Recipe!D21&lt;&gt; "---Select Grain/Fermentable---",Recipe!D21, "")</f>
        <v/>
      </c>
      <c r="C18" s="102"/>
      <c r="D18" s="102"/>
      <c r="E18" s="102"/>
      <c r="F18" s="746" t="str">
        <f>IF(Recipe!X13&lt;&gt;"", Recipe!X13, "")</f>
        <v/>
      </c>
      <c r="G18" s="746"/>
      <c r="H18" s="370" t="str">
        <f>IF(Recipe!Z13&lt;&gt;"", Recipe!Z13, "")</f>
        <v/>
      </c>
      <c r="I18" s="370" t="str">
        <f>IF(Recipe!AA13&lt;&gt;"", Recipe!AA13, "")</f>
        <v/>
      </c>
      <c r="P18" s="440"/>
      <c r="Q18" s="440"/>
      <c r="R18" s="440"/>
      <c r="S18" s="440"/>
    </row>
    <row r="19" spans="1:19" ht="12.75" customHeight="1" x14ac:dyDescent="0.25">
      <c r="A19" s="442" t="str">
        <f>IF(Recipe!B22&gt;0, Recipe!B22, "")</f>
        <v/>
      </c>
      <c r="B19" s="102" t="str">
        <f>IF(Recipe!D22&lt;&gt; "---Select Grain/Fermentable---",Recipe!D22, "")</f>
        <v/>
      </c>
      <c r="C19" s="102"/>
      <c r="D19" s="102"/>
      <c r="E19" s="102"/>
      <c r="F19" s="746" t="str">
        <f>IF(Recipe!X14&lt;&gt;"", Recipe!X14, "")</f>
        <v/>
      </c>
      <c r="G19" s="746"/>
      <c r="H19" s="370" t="str">
        <f>IF(Recipe!Z14&lt;&gt;"", Recipe!Z14, "")</f>
        <v/>
      </c>
      <c r="I19" s="370" t="str">
        <f>IF(Recipe!AA14&lt;&gt;"", Recipe!AA14, "")</f>
        <v/>
      </c>
      <c r="P19" s="440"/>
      <c r="Q19" s="440"/>
      <c r="R19" s="440"/>
      <c r="S19" s="440"/>
    </row>
    <row r="20" spans="1:19" ht="12.75" customHeight="1" x14ac:dyDescent="0.25">
      <c r="A20" s="442" t="str">
        <f>IF(Recipe!B23&gt;0, Recipe!B23, "")</f>
        <v/>
      </c>
      <c r="B20" s="102" t="str">
        <f>IF(Recipe!D23&lt;&gt; "---Select Grain/Fermentable---",Recipe!D23, "")</f>
        <v/>
      </c>
      <c r="C20" s="102"/>
      <c r="D20" s="102"/>
      <c r="E20" s="102"/>
      <c r="F20" s="746" t="str">
        <f>IF(Recipe!X15&lt;&gt;"", Recipe!X15, "")</f>
        <v/>
      </c>
      <c r="G20" s="746"/>
      <c r="H20" s="370" t="str">
        <f>IF(Recipe!Z15&lt;&gt;"", Recipe!Z15, "")</f>
        <v/>
      </c>
      <c r="I20" s="370" t="str">
        <f>IF(Recipe!AA15&lt;&gt;"", Recipe!AA15, "")</f>
        <v/>
      </c>
      <c r="P20" s="440"/>
      <c r="Q20" s="440"/>
      <c r="R20" s="440"/>
      <c r="S20" s="440"/>
    </row>
    <row r="21" spans="1:19" ht="12.75" customHeight="1" x14ac:dyDescent="0.25">
      <c r="A21" s="442" t="str">
        <f>IF(Recipe!B24&gt;0, Recipe!B24, "")</f>
        <v/>
      </c>
      <c r="B21" s="102" t="str">
        <f>IF(Recipe!D24&lt;&gt; "---Select Grain/Fermentable---",Recipe!D24, "")</f>
        <v/>
      </c>
      <c r="C21" s="102"/>
      <c r="D21" s="102"/>
      <c r="E21" s="102"/>
      <c r="F21" s="746" t="str">
        <f>IF(Recipe!X16&lt;&gt;"", Recipe!X16, "")</f>
        <v/>
      </c>
      <c r="G21" s="746"/>
      <c r="H21" s="370" t="str">
        <f>IF(Recipe!Z16&lt;&gt;"", Recipe!Z16, "")</f>
        <v/>
      </c>
      <c r="I21" s="370" t="str">
        <f>IF(Recipe!AA16&lt;&gt;"", Recipe!AA16, "")</f>
        <v/>
      </c>
      <c r="P21" s="440"/>
      <c r="Q21" s="440"/>
      <c r="R21" s="440"/>
      <c r="S21" s="440"/>
    </row>
    <row r="22" spans="1:19" ht="12.75" customHeight="1" x14ac:dyDescent="0.25">
      <c r="A22" s="442" t="str">
        <f>IF(Recipe!B25&gt;0, Recipe!B25, "")</f>
        <v/>
      </c>
      <c r="B22" s="102" t="str">
        <f>IF(Recipe!D25&lt;&gt; "---Select Grain/Fermentable---",Recipe!D25, "")</f>
        <v/>
      </c>
      <c r="C22" s="102"/>
      <c r="D22" s="102"/>
      <c r="E22" s="102"/>
      <c r="F22" s="746" t="str">
        <f>IF(Recipe!X17&lt;&gt;"", Recipe!X17, "")</f>
        <v/>
      </c>
      <c r="G22" s="746"/>
      <c r="H22" s="370" t="str">
        <f>IF(Recipe!Z17&lt;&gt;"", Recipe!Z17, "")</f>
        <v/>
      </c>
      <c r="I22" s="370" t="str">
        <f>IF(Recipe!AA17&lt;&gt;"", Recipe!AA17, "")</f>
        <v/>
      </c>
      <c r="P22" s="440"/>
      <c r="Q22" s="440"/>
      <c r="R22" s="440"/>
      <c r="S22" s="440"/>
    </row>
    <row r="23" spans="1:19" ht="12.75" customHeight="1" x14ac:dyDescent="0.25">
      <c r="A23" s="442" t="str">
        <f>IF(Recipe!B26&gt;0, Recipe!B26, "")</f>
        <v/>
      </c>
      <c r="B23" s="102" t="str">
        <f>IF(Recipe!D26&lt;&gt; "---Select Grain/Fermentable---",Recipe!D26, "")</f>
        <v/>
      </c>
      <c r="C23" s="102"/>
      <c r="D23" s="102"/>
      <c r="E23" s="102"/>
      <c r="F23" s="746" t="str">
        <f>IF(Recipe!X18&lt;&gt;"", Recipe!X18, "")</f>
        <v/>
      </c>
      <c r="G23" s="746"/>
      <c r="H23" s="370" t="str">
        <f>IF(Recipe!Z18&lt;&gt;"", Recipe!Z18, "")</f>
        <v/>
      </c>
      <c r="I23" s="370" t="str">
        <f>IF(Recipe!AA18&lt;&gt;"", Recipe!AA18, "")</f>
        <v/>
      </c>
      <c r="P23" s="440"/>
      <c r="Q23" s="440"/>
      <c r="R23" s="440"/>
      <c r="S23" s="440"/>
    </row>
    <row r="24" spans="1:19" ht="12.75" customHeight="1" x14ac:dyDescent="0.25">
      <c r="A24" s="107" t="str">
        <f>IF(Recipe!B27&gt;0, Recipe!B27, "")</f>
        <v/>
      </c>
      <c r="B24" s="102" t="str">
        <f>IF(Recipe!B27&gt;0, "Rice Hulls", "")</f>
        <v/>
      </c>
      <c r="C24" s="102"/>
      <c r="D24" s="102"/>
      <c r="E24" s="102"/>
      <c r="F24" s="102" t="str">
        <f>IF(J16="Y", "More Additions - See Recipe Sheet", IF(J17="More Additions - See Recipe Sheet", "Yes", ""))</f>
        <v/>
      </c>
      <c r="G24" s="102"/>
      <c r="H24" s="102"/>
      <c r="I24" s="102"/>
      <c r="P24" s="440"/>
      <c r="Q24" s="440"/>
      <c r="R24" s="440"/>
      <c r="S24" s="440"/>
    </row>
    <row r="25" spans="1:19" ht="11.25" customHeight="1" x14ac:dyDescent="0.25">
      <c r="B25" s="102"/>
      <c r="C25" s="102"/>
      <c r="D25" s="102"/>
      <c r="E25" s="102"/>
      <c r="F25" s="102"/>
      <c r="G25" s="463">
        <v>168</v>
      </c>
      <c r="H25" s="102"/>
      <c r="I25" s="102"/>
      <c r="P25" s="440"/>
      <c r="Q25" s="440"/>
      <c r="R25" s="440"/>
      <c r="S25" s="440"/>
    </row>
    <row r="26" spans="1:19" ht="12.75" customHeight="1" x14ac:dyDescent="0.25">
      <c r="A26" s="102" t="str">
        <f>IF(Brewhouse!V17="Metric", CONCATENATE("Combine milled grains with any mash salts/acids below and ", ROUND('Total H2O Sub'!J24*3.78541, 2), " Liters H20 at ", ROUND((Recipe!I46), 0), "C ", "to settle at ",ROUND(('H20 Temps Sub'!L21-32)*(5/9), 0), "C."), CONCATENATE("Combine milled grains with any mash salts/acids below and ", ROUND('Total H2O Sub'!J24, 2), " Gallons H20 at ", ROUND(Recipe!I46, 0), "F ", "to settle at ",ROUND('H20 Temps Sub'!L21, 0), "F."))</f>
        <v>Combine milled grains with any mash salts/acids below and 3.92 Gallons H20 at 172F to settle at 154F.</v>
      </c>
      <c r="B26" s="102"/>
      <c r="C26" s="102"/>
      <c r="D26" s="102"/>
      <c r="E26" s="102"/>
      <c r="F26" s="102"/>
      <c r="G26" s="102"/>
      <c r="H26" s="102"/>
      <c r="I26" s="102"/>
      <c r="K26" s="453" t="s">
        <v>1464</v>
      </c>
      <c r="P26" s="440"/>
      <c r="Q26" s="440"/>
      <c r="R26" s="440"/>
      <c r="S26" s="440"/>
    </row>
    <row r="27" spans="1:19" ht="12.75" customHeight="1" x14ac:dyDescent="0.25">
      <c r="A27" s="102" t="str">
        <f>IF(Water!AG3= "Y", CONCATENATE("Base Stike Water is ", Water!U4*100, "% Distilled"), "")</f>
        <v/>
      </c>
      <c r="B27" s="102"/>
      <c r="C27" s="102"/>
      <c r="D27" s="102"/>
      <c r="E27" s="102"/>
      <c r="F27" s="102"/>
      <c r="G27" s="102"/>
      <c r="H27" s="102"/>
      <c r="I27" s="102"/>
      <c r="P27" s="440"/>
      <c r="Q27" s="440"/>
      <c r="R27" s="440"/>
      <c r="S27" s="440"/>
    </row>
    <row r="28" spans="1:19" ht="12.75" customHeight="1" x14ac:dyDescent="0.25">
      <c r="A28" s="102" t="str">
        <f>CONCATENATE("Mash Salts/Acids: ", Water!F38, Water!H38, Water!J38, Water!L38, Water!N38, Water!P38, Water!R38, Water!Y38, Water!AA38, Water!AC38)</f>
        <v xml:space="preserve">Mash Salts/Acids: 2g CaCl2, 1.5g CaSO4, 2g NaCl, 2ml Lactic Acid, </v>
      </c>
      <c r="B28" s="102"/>
      <c r="C28" s="102"/>
      <c r="D28" s="102"/>
      <c r="E28" s="102"/>
      <c r="F28" s="102"/>
      <c r="G28" s="102"/>
      <c r="H28" s="102"/>
      <c r="I28" s="102"/>
      <c r="P28" s="441"/>
      <c r="Q28" s="440"/>
      <c r="R28" s="440"/>
      <c r="S28" s="440"/>
    </row>
    <row r="29" spans="1:19" ht="12.75" customHeight="1" x14ac:dyDescent="0.25">
      <c r="A29" s="102" t="str">
        <f>CONCATENATE("Mash for ", Recipe!M3, " Minutes.")</f>
        <v>Mash for 60 Minutes.</v>
      </c>
      <c r="B29" s="102"/>
      <c r="C29" s="102"/>
      <c r="D29" s="102"/>
      <c r="E29" s="102"/>
      <c r="F29" s="102"/>
      <c r="G29" s="102"/>
      <c r="H29" s="102"/>
      <c r="I29" s="102"/>
      <c r="P29" s="440"/>
      <c r="Q29" s="440"/>
      <c r="R29" s="440"/>
      <c r="S29" s="440"/>
    </row>
    <row r="30" spans="1:19" ht="12.75" customHeight="1" x14ac:dyDescent="0.25">
      <c r="A30" s="102" t="str">
        <f>IF(Brewhouse!O17="Y", "",                                 IF(Brewhouse!V17="Metric",CONCATENATE("Lauter, then Sparge with ", ROUND('Total H2O Sub'!J25*3.78541, 2), " Liters of ", ROUND((Recipe!I47), 0), "C ",  "H20", Water!AC40, " -OR- "),CONCATENATE("Lauter, then Sparge with ", ROUND('Total H2O Sub'!J25, 2), " Gallons of ", ROUND(Recipe!I47, 0), "F ",  "H20", IF(Water!AG34="Y", Water!AC40, ""), " -OR- ")))</f>
        <v xml:space="preserve">Lauter, then Sparge with 3.86 Gallons of 178F H20 (acidified with 8.69 ml Phosphoric Acid or 0.79 ml Lactic Acid) -OR- </v>
      </c>
      <c r="B30" s="102"/>
      <c r="C30" s="102"/>
      <c r="D30" s="102"/>
      <c r="E30" s="102"/>
      <c r="F30" s="102"/>
      <c r="G30" s="102"/>
      <c r="H30" s="102"/>
      <c r="I30" s="102"/>
      <c r="P30" s="440"/>
      <c r="Q30" s="440"/>
      <c r="R30" s="440"/>
      <c r="S30" s="440"/>
    </row>
    <row r="31" spans="1:19" ht="12" customHeight="1" x14ac:dyDescent="0.25">
      <c r="A31" s="102" t="str">
        <f>IF(Brewhouse!O17="Y", "",                              IF(Brewhouse!V17="Metric",CONCATENATE("Mash Out with ", ROUND('Total H2O Sub'!J25*3.78541, 2), " Liters of ", ROUND((Recipe!I49), 0), "C ", "water and Lauter"),CONCATENATE("Mash Out with ", ROUND('Total H2O Sub'!J25, 2), " Gallons of ", ROUND(Recipe!I49, 0), "F ", "water and Lauter")))</f>
        <v>Mash Out with 3.86 Gallons of 188F water and Lauter</v>
      </c>
      <c r="B31" s="102"/>
      <c r="C31" s="102"/>
      <c r="D31" s="102"/>
      <c r="E31" s="102"/>
      <c r="F31" s="443" t="s">
        <v>1443</v>
      </c>
      <c r="G31" s="456" t="s">
        <v>1446</v>
      </c>
      <c r="H31" s="444" t="s">
        <v>1445</v>
      </c>
      <c r="I31" s="457"/>
      <c r="J31" s="457" t="s">
        <v>1444</v>
      </c>
      <c r="K31" s="457" t="s">
        <v>1444</v>
      </c>
      <c r="L31" s="445"/>
      <c r="O31" s="102"/>
      <c r="P31" s="102"/>
      <c r="Q31" s="102"/>
      <c r="R31" s="440"/>
      <c r="S31" s="440"/>
    </row>
    <row r="32" spans="1:19" ht="12" customHeight="1" x14ac:dyDescent="0.25">
      <c r="A32" s="102" t="str">
        <f>IF(Water!AG3= "Y", CONCATENATE("Base Sparge or Mashout Water is ", Water!Y4*100, "% Distilled"), "")</f>
        <v/>
      </c>
      <c r="B32" s="102"/>
      <c r="C32" s="102"/>
      <c r="D32" s="102"/>
      <c r="E32" s="102"/>
      <c r="F32" s="444">
        <v>1</v>
      </c>
      <c r="G32" s="444">
        <v>60</v>
      </c>
      <c r="H32" s="444">
        <v>154</v>
      </c>
      <c r="I32" s="462">
        <v>3.9</v>
      </c>
      <c r="J32" s="444"/>
      <c r="K32" s="454" t="s">
        <v>1450</v>
      </c>
      <c r="L32" s="455">
        <v>168</v>
      </c>
      <c r="O32" s="453"/>
      <c r="P32" s="453"/>
      <c r="Q32" s="453"/>
      <c r="R32" s="64"/>
      <c r="S32" s="440"/>
    </row>
    <row r="33" spans="1:19" ht="12" customHeight="1" x14ac:dyDescent="0.25">
      <c r="A33" s="102" t="str">
        <f>CONCATENATE("Boil wort for ", Recipe!B9, " Minutes, adding any kettle salts below")</f>
        <v>Boil wort for 60 Minutes, adding any kettle salts below</v>
      </c>
      <c r="B33" s="102"/>
      <c r="C33" s="102"/>
      <c r="D33" s="102"/>
      <c r="E33" s="102"/>
      <c r="F33" s="444">
        <v>2</v>
      </c>
      <c r="G33" s="444">
        <v>15</v>
      </c>
      <c r="H33" s="444">
        <v>168</v>
      </c>
      <c r="I33" s="462">
        <v>3.9</v>
      </c>
      <c r="J33" s="444"/>
      <c r="K33" s="454" t="s">
        <v>1450</v>
      </c>
      <c r="L33" s="455">
        <v>195</v>
      </c>
      <c r="O33" s="453" t="s">
        <v>1463</v>
      </c>
      <c r="P33" s="453"/>
      <c r="Q33" s="453"/>
      <c r="R33" s="64"/>
      <c r="S33" s="440"/>
    </row>
    <row r="34" spans="1:19" ht="12" customHeight="1" x14ac:dyDescent="0.25">
      <c r="A34" s="102" t="str">
        <f>CONCATENATE("Kettle Salts: ", Water!F39, Water!H39, Water!J39, Water!L39, Water!N39, Water!P39, Water!R39)</f>
        <v xml:space="preserve">Kettle Salts: </v>
      </c>
      <c r="B34" s="102"/>
      <c r="C34" s="102"/>
      <c r="D34" s="102"/>
      <c r="E34" s="102"/>
      <c r="F34" s="444">
        <v>3</v>
      </c>
      <c r="G34" s="444"/>
      <c r="H34" s="444"/>
      <c r="I34" s="462">
        <v>0</v>
      </c>
      <c r="J34" s="444"/>
      <c r="K34" s="454" t="s">
        <v>1450</v>
      </c>
      <c r="L34" s="455">
        <v>195</v>
      </c>
      <c r="O34" s="451"/>
      <c r="P34" s="102"/>
      <c r="Q34" s="102"/>
      <c r="S34" s="440"/>
    </row>
    <row r="35" spans="1:19" ht="12" customHeight="1" x14ac:dyDescent="0.25">
      <c r="A35" s="102"/>
      <c r="B35" s="102"/>
      <c r="C35" s="102"/>
      <c r="D35" s="102"/>
      <c r="E35" s="102"/>
      <c r="F35" s="446"/>
      <c r="G35" s="446"/>
      <c r="H35" s="444" t="s">
        <v>364</v>
      </c>
      <c r="I35" s="462">
        <f>SUM(I32:I34)</f>
        <v>7.8</v>
      </c>
      <c r="J35" s="445"/>
      <c r="K35" s="454" t="s">
        <v>1450</v>
      </c>
      <c r="L35" s="452"/>
    </row>
    <row r="36" spans="1:19" ht="12.75" customHeight="1" x14ac:dyDescent="0.25">
      <c r="A36" s="744" t="s">
        <v>356</v>
      </c>
      <c r="B36" s="744"/>
      <c r="C36" s="744"/>
      <c r="D36" s="744"/>
      <c r="E36" s="744" t="s">
        <v>357</v>
      </c>
      <c r="F36" s="745"/>
      <c r="G36" s="745"/>
      <c r="H36" s="745"/>
      <c r="I36" s="745"/>
    </row>
    <row r="37" spans="1:19" ht="12.75" customHeight="1" x14ac:dyDescent="0.25">
      <c r="A37" s="106" t="s">
        <v>4</v>
      </c>
      <c r="B37" s="108" t="s">
        <v>353</v>
      </c>
      <c r="C37" s="106" t="str">
        <f>IF(Brewhouse!V17="Metric", "Grams", "Ounces")</f>
        <v>Ounces</v>
      </c>
      <c r="D37" s="106" t="s">
        <v>354</v>
      </c>
      <c r="E37" s="108" t="s">
        <v>4</v>
      </c>
      <c r="F37" s="108" t="s">
        <v>353</v>
      </c>
      <c r="G37" s="106" t="str">
        <f>IF(Brewhouse!V17="Metric", "Grams", "Ounces")</f>
        <v>Ounces</v>
      </c>
      <c r="H37" s="106" t="s">
        <v>268</v>
      </c>
      <c r="I37" s="106" t="s">
        <v>144</v>
      </c>
    </row>
    <row r="38" spans="1:19" ht="12.75" customHeight="1" x14ac:dyDescent="0.25">
      <c r="A38" s="102" t="str">
        <f>IF(Recipe!J13&lt;&gt; "---Select Hop---",Recipe!J13, "")</f>
        <v>Magnum, US</v>
      </c>
      <c r="B38" s="107" t="str">
        <f>IF(Recipe!L13&gt; 0,Recipe!L13, "")</f>
        <v>P</v>
      </c>
      <c r="C38" s="107">
        <f>IF(Recipe!M13&gt; 0,Recipe!M13, "")</f>
        <v>0.5</v>
      </c>
      <c r="D38" s="107">
        <f>IF(Recipe!N13&gt; 0,Recipe!N13, "")</f>
        <v>60</v>
      </c>
      <c r="E38" s="102" t="str">
        <f>IF(Recipe!B32&lt;&gt; "---Select Hop---",Recipe!B32, "")</f>
        <v>Cascade</v>
      </c>
      <c r="F38" s="107" t="str">
        <f>IF(Recipe!E32&gt; 0,Recipe!E32, "")</f>
        <v>P</v>
      </c>
      <c r="G38" s="107">
        <f>IF(Recipe!F32&gt; 0,Recipe!F32, "")</f>
        <v>0.5</v>
      </c>
      <c r="H38" s="107">
        <f>IF(Recipe!G32&gt; 0,Recipe!G32, "")</f>
        <v>190</v>
      </c>
      <c r="I38" s="107">
        <f>IF(Recipe!H32&gt; 0,Recipe!H32, "")</f>
        <v>15</v>
      </c>
    </row>
    <row r="39" spans="1:19" ht="12.75" customHeight="1" x14ac:dyDescent="0.25">
      <c r="A39" s="102" t="str">
        <f>IF(Recipe!J14&lt;&gt; "---Select Hop---",Recipe!J14, "")</f>
        <v>Challenger,UK</v>
      </c>
      <c r="B39" s="107" t="str">
        <f>IF(Recipe!L14&gt; 0,Recipe!L14, "")</f>
        <v>P</v>
      </c>
      <c r="C39" s="107">
        <f>IF(Recipe!M14&gt; 0,Recipe!M14, "")</f>
        <v>1</v>
      </c>
      <c r="D39" s="107">
        <f>IF(Recipe!N14&gt; 0,Recipe!N14, "")</f>
        <v>15</v>
      </c>
      <c r="E39" s="102" t="str">
        <f>IF(Recipe!B33&lt;&gt; "---Select Hop---",Recipe!B33, "")</f>
        <v>Hallertau, German</v>
      </c>
      <c r="F39" s="107" t="str">
        <f>IF(Recipe!E33&gt; 0,Recipe!E33, "")</f>
        <v>P</v>
      </c>
      <c r="G39" s="107">
        <f>IF(Recipe!F33&gt; 0,Recipe!F33, "")</f>
        <v>1.5</v>
      </c>
      <c r="H39" s="107">
        <f>IF(Recipe!G33&gt; 0,Recipe!G33, "")</f>
        <v>190</v>
      </c>
      <c r="I39" s="107">
        <f>IF(Recipe!H33&gt; 0,Recipe!H33, "")</f>
        <v>15</v>
      </c>
    </row>
    <row r="40" spans="1:19" ht="12.75" customHeight="1" x14ac:dyDescent="0.25">
      <c r="A40" s="102" t="str">
        <f>IF(Recipe!J15&lt;&gt; "---Select Hop---",Recipe!J15, "")</f>
        <v>Cascade</v>
      </c>
      <c r="B40" s="107" t="str">
        <f>IF(Recipe!L15&gt; 0,Recipe!L15, "")</f>
        <v>P</v>
      </c>
      <c r="C40" s="107">
        <f>IF(Recipe!M15&gt; 0,Recipe!M15, "")</f>
        <v>1</v>
      </c>
      <c r="D40" s="107">
        <f>IF(Recipe!N15&gt; 0,Recipe!N15, "")</f>
        <v>10</v>
      </c>
      <c r="E40" s="102" t="str">
        <f>IF(Recipe!B34&lt;&gt; "---Select Hop---",Recipe!B34, "")</f>
        <v/>
      </c>
      <c r="F40" s="107" t="str">
        <f>IF(Recipe!E34&gt; 0,Recipe!E34, "")</f>
        <v/>
      </c>
      <c r="G40" s="107" t="str">
        <f>IF(Recipe!F34&gt; 0,Recipe!F34, "")</f>
        <v/>
      </c>
      <c r="H40" s="107" t="str">
        <f>IF(Recipe!G34&gt; 0,Recipe!G34, "")</f>
        <v/>
      </c>
      <c r="I40" s="107" t="str">
        <f>IF(Recipe!H34&gt; 0,Recipe!H34, "")</f>
        <v/>
      </c>
    </row>
    <row r="41" spans="1:19" ht="12.75" customHeight="1" x14ac:dyDescent="0.25">
      <c r="A41" s="102" t="str">
        <f>IF(Recipe!J16&lt;&gt; "---Select Hop---",Recipe!J16, "")</f>
        <v/>
      </c>
      <c r="B41" s="107" t="str">
        <f>IF(Recipe!L16&gt; 0,Recipe!L16, "")</f>
        <v/>
      </c>
      <c r="C41" s="107" t="str">
        <f>IF(Recipe!M16&gt; 0,Recipe!M16, "")</f>
        <v/>
      </c>
      <c r="D41" s="107" t="str">
        <f>IF(Recipe!N16&gt; 0,Recipe!N16, "")</f>
        <v/>
      </c>
      <c r="E41" s="102" t="str">
        <f>IF(Recipe!B35&lt;&gt; "---Select Hop---",Recipe!B35, "")</f>
        <v/>
      </c>
      <c r="F41" s="107" t="str">
        <f>IF(Recipe!E35&gt; 0,Recipe!E35, "")</f>
        <v/>
      </c>
      <c r="G41" s="107" t="str">
        <f>IF(Recipe!F35&gt; 0,Recipe!F35, "")</f>
        <v/>
      </c>
      <c r="H41" s="107" t="str">
        <f>IF(Recipe!G35&gt; 0,Recipe!G35, "")</f>
        <v/>
      </c>
      <c r="I41" s="107" t="str">
        <f>IF(Recipe!H35&gt; 0,Recipe!H35, "")</f>
        <v/>
      </c>
    </row>
    <row r="42" spans="1:19" ht="12.75" customHeight="1" x14ac:dyDescent="0.25">
      <c r="A42" s="102" t="str">
        <f>IF(Recipe!J17&lt;&gt; "---Select Hop---",Recipe!J17, "")</f>
        <v/>
      </c>
      <c r="B42" s="107" t="str">
        <f>IF(Recipe!L17&gt; 0,Recipe!L17, "")</f>
        <v/>
      </c>
      <c r="C42" s="107" t="str">
        <f>IF(Recipe!M17&gt; 0,Recipe!M17, "")</f>
        <v/>
      </c>
      <c r="D42" s="107" t="str">
        <f>IF(Recipe!N17&gt; 0,Recipe!N17, "")</f>
        <v/>
      </c>
      <c r="E42" s="102" t="str">
        <f>IF(Recipe!B36&lt;&gt; "---Select Hop---",Recipe!B36, "")</f>
        <v/>
      </c>
      <c r="F42" s="107" t="str">
        <f>IF(Recipe!E36&gt; 0,Recipe!E36, "")</f>
        <v/>
      </c>
      <c r="G42" s="107" t="str">
        <f>IF(Recipe!F36&gt; 0,Recipe!F36, "")</f>
        <v/>
      </c>
      <c r="H42" s="107" t="str">
        <f>IF(Recipe!G36&gt; 0,Recipe!G36, "")</f>
        <v/>
      </c>
      <c r="I42" s="107" t="str">
        <f>IF(Recipe!H36&gt; 0,Recipe!H36, "")</f>
        <v/>
      </c>
    </row>
    <row r="43" spans="1:19" ht="12.75" customHeight="1" x14ac:dyDescent="0.25">
      <c r="A43" s="102" t="str">
        <f>IF(Recipe!J18&lt;&gt; "---Select Hop---",Recipe!J18, "")</f>
        <v/>
      </c>
      <c r="B43" s="107" t="str">
        <f>IF(Recipe!L18&gt; 0,Recipe!L18, "")</f>
        <v/>
      </c>
      <c r="C43" s="107" t="str">
        <f>IF(Recipe!M18&gt; 0,Recipe!M18, "")</f>
        <v/>
      </c>
      <c r="D43" s="107" t="str">
        <f>IF(Recipe!N18&gt; 0,Recipe!N18, "")</f>
        <v/>
      </c>
      <c r="E43" s="102"/>
      <c r="F43" s="102"/>
      <c r="G43" s="102"/>
      <c r="H43" s="102"/>
      <c r="I43" s="102"/>
    </row>
    <row r="44" spans="1:19" ht="12.75" customHeight="1" x14ac:dyDescent="0.25">
      <c r="A44" s="102" t="str">
        <f>IF(Recipe!J19&lt;&gt; "---Select Hop---",Recipe!J19, "")</f>
        <v/>
      </c>
      <c r="B44" s="107" t="str">
        <f>IF(Recipe!L19&gt; 0,Recipe!L19, "")</f>
        <v/>
      </c>
      <c r="C44" s="107" t="str">
        <f>IF(Recipe!M19&gt; 0,Recipe!M19, "")</f>
        <v/>
      </c>
      <c r="D44" s="107" t="str">
        <f>IF(Recipe!N19&gt; 0,Recipe!N19, "")</f>
        <v/>
      </c>
      <c r="E44" s="744" t="s">
        <v>358</v>
      </c>
      <c r="F44" s="745"/>
      <c r="G44" s="745"/>
      <c r="H44" s="102"/>
      <c r="I44" s="102"/>
    </row>
    <row r="45" spans="1:19" ht="12.75" customHeight="1" x14ac:dyDescent="0.25">
      <c r="A45" s="102" t="str">
        <f>IF(Recipe!J20&lt;&gt; "---Select Hop---",Recipe!J20, "")</f>
        <v/>
      </c>
      <c r="B45" s="107" t="str">
        <f>IF(Recipe!L20&gt; 0,Recipe!L20, "")</f>
        <v/>
      </c>
      <c r="C45" s="107" t="str">
        <f>IF(Recipe!M20&gt; 0,Recipe!M20, "")</f>
        <v/>
      </c>
      <c r="D45" s="107" t="str">
        <f>IF(Recipe!N20&gt; 0,Recipe!N20, "")</f>
        <v/>
      </c>
      <c r="E45" s="108" t="s">
        <v>4</v>
      </c>
      <c r="F45" s="108" t="s">
        <v>353</v>
      </c>
      <c r="G45" s="106" t="str">
        <f>IF(Brewhouse!V17="Metric", "Grams", "Ounces")</f>
        <v>Ounces</v>
      </c>
      <c r="H45" s="329" t="s">
        <v>959</v>
      </c>
      <c r="I45" s="329" t="s">
        <v>960</v>
      </c>
    </row>
    <row r="46" spans="1:19" ht="12.75" customHeight="1" x14ac:dyDescent="0.25">
      <c r="A46" s="102" t="str">
        <f>IF(Recipe!J21&lt;&gt; "---Select Hop---",Recipe!J21, "")</f>
        <v/>
      </c>
      <c r="B46" s="107" t="str">
        <f>IF(Recipe!L21&gt; 0,Recipe!L21, "")</f>
        <v/>
      </c>
      <c r="C46" s="107" t="str">
        <f>IF(Recipe!M21&gt; 0,Recipe!M21, "")</f>
        <v/>
      </c>
      <c r="D46" s="107" t="str">
        <f>IF(Recipe!N21&gt; 0,Recipe!N21, "")</f>
        <v/>
      </c>
      <c r="E46" s="102" t="str">
        <f>IF(Recipe!N32&lt;&gt; "---Select Hop---",Recipe!N32, "")</f>
        <v>Cascade</v>
      </c>
      <c r="F46" s="107" t="str">
        <f>IF(Recipe!P32&gt; 0,Recipe!P32, "")</f>
        <v>P</v>
      </c>
      <c r="G46" s="107">
        <f>IF(Recipe!R32&gt; 0,Recipe!R32, "")</f>
        <v>0.5</v>
      </c>
      <c r="H46" s="102">
        <f>IF(Recipe!Y32&gt; 0,Recipe!Y32, "")</f>
        <v>4</v>
      </c>
      <c r="I46" s="102">
        <f>IF(Recipe!Z32&gt; 0,Recipe!Z32, "")</f>
        <v>66</v>
      </c>
    </row>
    <row r="47" spans="1:19" ht="12.75" customHeight="1" x14ac:dyDescent="0.25">
      <c r="A47" s="102" t="str">
        <f>IF(Recipe!J22&lt;&gt; "---Select Hop---",Recipe!J22, "")</f>
        <v/>
      </c>
      <c r="B47" s="107" t="str">
        <f>IF(Recipe!L22&gt; 0,Recipe!L22, "")</f>
        <v/>
      </c>
      <c r="C47" s="107" t="str">
        <f>IF(Recipe!M22&gt; 0,Recipe!M22, "")</f>
        <v/>
      </c>
      <c r="D47" s="107" t="str">
        <f>IF(Recipe!N22&gt; 0,Recipe!N22, "")</f>
        <v/>
      </c>
      <c r="E47" s="102" t="str">
        <f>IF(Recipe!N33&lt;&gt; "---Select Hop---",Recipe!N33, "")</f>
        <v>Hallertau, German</v>
      </c>
      <c r="F47" s="107" t="str">
        <f>IF(Recipe!P33&gt; 0,Recipe!P33, "")</f>
        <v>P</v>
      </c>
      <c r="G47" s="107">
        <f>IF(Recipe!R33&gt; 0,Recipe!R33, "")</f>
        <v>0.5</v>
      </c>
      <c r="H47" s="102">
        <f>IF(Recipe!Y33&gt; 0,Recipe!Y33, "")</f>
        <v>4</v>
      </c>
      <c r="I47" s="102">
        <f>IF(Recipe!Z33&gt; 0,Recipe!Z33, "")</f>
        <v>66</v>
      </c>
    </row>
    <row r="48" spans="1:19" ht="12.75" customHeight="1" x14ac:dyDescent="0.25">
      <c r="A48" s="102" t="str">
        <f>IF(Recipe!J23&lt;&gt; "---Select Hop---",Recipe!J23, "")</f>
        <v/>
      </c>
      <c r="B48" s="107" t="str">
        <f>IF(Recipe!L23&gt; 0,Recipe!L23, "")</f>
        <v/>
      </c>
      <c r="C48" s="107" t="str">
        <f>IF(Recipe!M23&gt; 0,Recipe!M23, "")</f>
        <v/>
      </c>
      <c r="D48" s="107" t="str">
        <f>IF(Recipe!N23&gt; 0,Recipe!N23, "")</f>
        <v/>
      </c>
      <c r="E48" s="102" t="str">
        <f>IF(Recipe!N34&lt;&gt; "---Select Hop---",Recipe!N34, "")</f>
        <v/>
      </c>
      <c r="F48" s="107" t="str">
        <f>IF(Recipe!P34&gt; 0,Recipe!P34, "")</f>
        <v/>
      </c>
      <c r="G48" s="107" t="str">
        <f>IF(Recipe!R34&gt; 0,Recipe!R34, "")</f>
        <v/>
      </c>
      <c r="H48" s="102" t="str">
        <f>IF(Recipe!Y34&gt; 0,Recipe!Y34, "")</f>
        <v/>
      </c>
      <c r="I48" s="102" t="str">
        <f>IF(Recipe!Z34&gt; 0,Recipe!Z34, "")</f>
        <v/>
      </c>
    </row>
    <row r="49" spans="1:9" ht="12.75" customHeight="1" x14ac:dyDescent="0.25">
      <c r="A49" s="102" t="str">
        <f>IF(Recipe!J24&lt;&gt; "---Select Hop---",Recipe!J24, "")</f>
        <v/>
      </c>
      <c r="B49" s="107" t="str">
        <f>IF(Recipe!L24&gt; 0,Recipe!L24, "")</f>
        <v/>
      </c>
      <c r="C49" s="107" t="str">
        <f>IF(Recipe!M24&gt; 0,Recipe!M24, "")</f>
        <v/>
      </c>
      <c r="D49" s="107" t="str">
        <f>IF(Recipe!N24&gt; 0,Recipe!N24, "")</f>
        <v/>
      </c>
      <c r="E49" s="102" t="str">
        <f>IF(Recipe!N35&lt;&gt; "---Select Hop---",Recipe!N35, "")</f>
        <v/>
      </c>
      <c r="F49" s="107" t="str">
        <f>IF(Recipe!P35&gt; 0,Recipe!P35, "")</f>
        <v/>
      </c>
      <c r="G49" s="107" t="str">
        <f>IF(Recipe!R35&gt; 0,Recipe!R35, "")</f>
        <v/>
      </c>
      <c r="H49" s="102" t="str">
        <f>IF(Recipe!Y35&gt; 0,Recipe!Y35, "")</f>
        <v/>
      </c>
      <c r="I49" s="102" t="str">
        <f>IF(Recipe!Z35&gt; 0,Recipe!Z35, "")</f>
        <v/>
      </c>
    </row>
    <row r="50" spans="1:9" ht="12.75" customHeight="1" x14ac:dyDescent="0.25">
      <c r="A50" s="436" t="s">
        <v>1441</v>
      </c>
      <c r="B50" s="437" t="str">
        <f>+Recipe!B42</f>
        <v>Wyeast 1098 - British Ale</v>
      </c>
      <c r="C50" s="438"/>
      <c r="D50" s="438"/>
      <c r="E50" s="102" t="str">
        <f>IF(Recipe!N36&lt;&gt; "---Select Hop---",Recipe!N36, "")</f>
        <v/>
      </c>
      <c r="F50" s="107" t="str">
        <f>IF(Recipe!P36&gt; 0,Recipe!P36, "")</f>
        <v/>
      </c>
      <c r="G50" s="107" t="str">
        <f>IF(Recipe!R36&gt; 0,Recipe!R36, "")</f>
        <v/>
      </c>
      <c r="H50" s="102" t="str">
        <f>IF(Recipe!Y36&gt; 0,Recipe!Y36, "")</f>
        <v/>
      </c>
      <c r="I50" s="102" t="str">
        <f>IF(Recipe!Z36&gt; 0,Recipe!Z36, "")</f>
        <v/>
      </c>
    </row>
    <row r="51" spans="1:9" ht="12.75" customHeight="1" x14ac:dyDescent="0.25">
      <c r="A51" s="102" t="str">
        <f>IF(Recipe!J26&lt;&gt; "---Select Hop---",Recipe!J26, "")</f>
        <v/>
      </c>
      <c r="B51" s="107" t="str">
        <f>IF(Recipe!L26&gt; 0,Recipe!L26, "")</f>
        <v/>
      </c>
      <c r="C51" s="107" t="str">
        <f>IF(Recipe!M26&gt; 0,Recipe!M26, "")</f>
        <v/>
      </c>
      <c r="D51" s="107" t="str">
        <f>IF(Recipe!N26&gt; 0,Recipe!N26, "")</f>
        <v/>
      </c>
      <c r="E51" s="102"/>
      <c r="F51" s="102"/>
      <c r="G51" s="102"/>
      <c r="H51" s="102"/>
      <c r="I51" s="102"/>
    </row>
    <row r="52" spans="1:9" ht="12.75" customHeight="1" x14ac:dyDescent="0.25">
      <c r="A52" s="102" t="str">
        <f>IF(Recipe!J27&lt;&gt; "---Select Hop---",Recipe!J27, "")</f>
        <v/>
      </c>
      <c r="B52" s="107" t="str">
        <f>IF(Recipe!L27&gt; 0,Recipe!L27, "")</f>
        <v/>
      </c>
      <c r="C52" s="107" t="str">
        <f>IF(Recipe!M27&gt; 0,Recipe!M27, "")</f>
        <v/>
      </c>
      <c r="D52" s="107" t="str">
        <f>IF(Recipe!N27&gt; 0,Recipe!N27, "")</f>
        <v/>
      </c>
      <c r="E52" s="102"/>
      <c r="F52" s="102"/>
      <c r="G52" s="102"/>
      <c r="H52" s="102"/>
      <c r="I52" s="102"/>
    </row>
    <row r="53" spans="1:9" ht="6.75" customHeight="1" x14ac:dyDescent="0.25">
      <c r="A53" s="102"/>
      <c r="B53" s="107"/>
      <c r="C53" s="102"/>
      <c r="D53" s="102"/>
      <c r="E53" s="102"/>
      <c r="F53" s="102"/>
      <c r="G53" s="102"/>
      <c r="H53" s="102"/>
      <c r="I53" s="102"/>
    </row>
    <row r="54" spans="1:9" ht="12.75" customHeight="1" x14ac:dyDescent="0.25">
      <c r="A54" s="102" t="str">
        <f>CONCATENATE("After Boil and any high temp hopstand/whirlpool, cool wort to pitching temp.")</f>
        <v>After Boil and any high temp hopstand/whirlpool, cool wort to pitching temp.</v>
      </c>
      <c r="B54" s="102"/>
      <c r="C54" s="102"/>
      <c r="D54" s="102"/>
      <c r="E54" s="102"/>
      <c r="F54" s="102"/>
      <c r="G54" s="102"/>
      <c r="H54" s="102"/>
      <c r="I54" s="102"/>
    </row>
    <row r="55" spans="1:9" ht="12.75" customHeight="1" x14ac:dyDescent="0.25">
      <c r="A55" s="102" t="str">
        <f>CONCATENATE("Aerate Wort for ", ROUND(Recipe!M54, 0), " Seconds with O2 flowing at 1 liter per minute.")</f>
        <v>Aerate Wort for 73 Seconds with O2 flowing at 1 liter per minute.</v>
      </c>
      <c r="B55" s="102"/>
      <c r="C55" s="102"/>
      <c r="D55" s="102"/>
      <c r="E55" s="102"/>
      <c r="F55" s="102"/>
      <c r="G55" s="102"/>
      <c r="H55" s="102"/>
      <c r="I55" s="102"/>
    </row>
    <row r="56" spans="1:9" ht="12.75" customHeight="1" x14ac:dyDescent="0.25">
      <c r="A56" s="102" t="str">
        <f>CONCATENATE("Pitch Yeast, Install Airlock/Blowoff, set up appropriate temperature control at ", Recipe!P42, " degrees, and have a beer.")</f>
        <v>Pitch Yeast, Install Airlock/Blowoff, set up appropriate temperature control at 68 degrees, and have a beer.</v>
      </c>
      <c r="B56" s="102"/>
      <c r="C56" s="102"/>
      <c r="D56" s="102"/>
      <c r="E56" s="102"/>
      <c r="F56" s="102"/>
      <c r="G56" s="102"/>
      <c r="H56" s="102"/>
      <c r="I56" s="102"/>
    </row>
    <row r="57" spans="1:9" ht="12.75" customHeight="1" x14ac:dyDescent="0.25">
      <c r="A57" s="102" t="str">
        <f>IF(Water!S33="Y", "Water Concentration Results: ", "")</f>
        <v xml:space="preserve">Water Concentration Results: </v>
      </c>
      <c r="B57" s="102"/>
      <c r="C57" s="102"/>
      <c r="D57" s="102"/>
      <c r="E57" s="102"/>
      <c r="F57" s="102"/>
      <c r="G57" s="102"/>
      <c r="H57" s="102"/>
      <c r="I57" s="102"/>
    </row>
    <row r="58" spans="1:9" ht="5.25" customHeight="1" x14ac:dyDescent="0.25">
      <c r="A58" s="102"/>
      <c r="B58" s="102"/>
      <c r="C58" s="102"/>
      <c r="D58" s="102"/>
      <c r="E58" s="102"/>
      <c r="F58" s="102"/>
      <c r="G58" s="102"/>
      <c r="H58" s="102"/>
      <c r="I58" s="102"/>
    </row>
    <row r="59" spans="1:9" x14ac:dyDescent="0.25">
      <c r="A59" s="102" t="str">
        <f>IF(Water!S33="Y", CONCATENATE(Water!D42, " ", Water!H42), "")</f>
        <v>Strike Water Result: 77 Ca ,2 Mg, 56 Na, 149 Cl, 68 SO4 , 43 HCO3</v>
      </c>
      <c r="G59" s="330" t="str">
        <f>IF(Water!S33="Y", "Mash pH:", "")</f>
        <v>Mash pH:</v>
      </c>
      <c r="H59" s="331">
        <f>IF(Water!S33="Y", ROUND(Water!Y31, 2),"")</f>
        <v>5.38</v>
      </c>
    </row>
    <row r="60" spans="1:9" x14ac:dyDescent="0.25">
      <c r="A60" s="102" t="str">
        <f>IF(Water!S33="Y", CONCATENATE(Water!D43, " ", Water!H43), "")</f>
        <v>Sparge Water Result: 17 Ca ,2 Mg, 3 Na, 3 Cl, 12 SO4 , 43 HCO3</v>
      </c>
    </row>
    <row r="61" spans="1:9" x14ac:dyDescent="0.25">
      <c r="A61" s="102" t="str">
        <f>IF(Water!S33="Y", CONCATENATE(Water!D44, " ", Water!H44), "")</f>
        <v>Overall Water Result: 47 Ca ,2 Mg, 30 Na, 76 Cl, 40 SO4 , 43 HCO3</v>
      </c>
    </row>
  </sheetData>
  <mergeCells count="20">
    <mergeCell ref="F12:I12"/>
    <mergeCell ref="F13:I13"/>
    <mergeCell ref="F14:I14"/>
    <mergeCell ref="E44:G44"/>
    <mergeCell ref="F16:I16"/>
    <mergeCell ref="F17:G17"/>
    <mergeCell ref="F18:G18"/>
    <mergeCell ref="F19:G19"/>
    <mergeCell ref="A36:D36"/>
    <mergeCell ref="E36:I36"/>
    <mergeCell ref="F20:G20"/>
    <mergeCell ref="F21:G21"/>
    <mergeCell ref="F22:G22"/>
    <mergeCell ref="F23:G23"/>
    <mergeCell ref="C1:D1"/>
    <mergeCell ref="F8:I8"/>
    <mergeCell ref="F9:I9"/>
    <mergeCell ref="F10:I10"/>
    <mergeCell ref="F11:I11"/>
    <mergeCell ref="A8:D8"/>
  </mergeCells>
  <pageMargins left="0.7" right="0.7" top="0.75" bottom="0.75" header="0.3" footer="0.3"/>
  <pageSetup scale="88"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7">
    <tabColor rgb="FF00B050"/>
  </sheetPr>
  <dimension ref="C2:AH30"/>
  <sheetViews>
    <sheetView showGridLines="0" showRowColHeaders="0" zoomScaleNormal="100" workbookViewId="0">
      <selection activeCell="O27" sqref="O27:S27"/>
    </sheetView>
  </sheetViews>
  <sheetFormatPr defaultRowHeight="15" x14ac:dyDescent="0.25"/>
  <cols>
    <col min="1" max="1" width="1.7109375" customWidth="1"/>
    <col min="2" max="2" width="2.85546875" customWidth="1"/>
    <col min="3" max="25" width="6.140625" customWidth="1"/>
    <col min="27" max="30" width="9.140625" hidden="1" customWidth="1"/>
    <col min="31" max="31" width="12.7109375" hidden="1" customWidth="1"/>
    <col min="32" max="34" width="9.140625" hidden="1" customWidth="1"/>
  </cols>
  <sheetData>
    <row r="2" spans="3:34" ht="15.75" thickBot="1" x14ac:dyDescent="0.3"/>
    <row r="3" spans="3:34" ht="18" customHeight="1" thickBot="1" x14ac:dyDescent="0.3">
      <c r="C3" s="757" t="s">
        <v>977</v>
      </c>
      <c r="D3" s="752"/>
      <c r="E3" s="752"/>
      <c r="F3" s="752"/>
      <c r="G3" s="752"/>
      <c r="H3" s="752"/>
      <c r="I3" s="752"/>
      <c r="J3" s="752"/>
      <c r="K3" s="752"/>
      <c r="L3" s="752"/>
      <c r="M3" s="753"/>
      <c r="AA3" t="s">
        <v>978</v>
      </c>
      <c r="AE3" s="336"/>
    </row>
    <row r="4" spans="3:34" ht="18" customHeight="1" x14ac:dyDescent="0.25">
      <c r="AA4">
        <f>IF(I6&gt;0, I6, C6)</f>
        <v>2.2999999999999998</v>
      </c>
      <c r="AE4" s="336"/>
    </row>
    <row r="5" spans="3:34" ht="18" customHeight="1" x14ac:dyDescent="0.25">
      <c r="C5" s="536" t="s">
        <v>979</v>
      </c>
      <c r="D5" s="537"/>
      <c r="E5" s="537"/>
      <c r="F5" s="537"/>
      <c r="G5" s="538"/>
      <c r="I5" s="536" t="s">
        <v>980</v>
      </c>
      <c r="J5" s="537"/>
      <c r="K5" s="537"/>
      <c r="L5" s="537"/>
      <c r="M5" s="538"/>
      <c r="AA5" t="s">
        <v>981</v>
      </c>
      <c r="AE5" s="336"/>
    </row>
    <row r="6" spans="3:34" ht="18" customHeight="1" x14ac:dyDescent="0.25">
      <c r="C6" s="758">
        <f>IF(STYLES!N2&lt;&gt;"",VLOOKUP(STYLES!N2,STYLES!$A$2:$L$300,12,0),0)</f>
        <v>2.2999999999999998</v>
      </c>
      <c r="D6" s="759"/>
      <c r="E6" s="759"/>
      <c r="F6" s="759"/>
      <c r="G6" s="760"/>
      <c r="I6" s="761"/>
      <c r="J6" s="762"/>
      <c r="K6" s="762"/>
      <c r="L6" s="762"/>
      <c r="M6" s="763"/>
      <c r="AC6">
        <f>AA4*2</f>
        <v>4.5999999999999996</v>
      </c>
      <c r="AE6" s="336"/>
    </row>
    <row r="7" spans="3:34" ht="18" customHeight="1" x14ac:dyDescent="0.25">
      <c r="AE7" s="336"/>
    </row>
    <row r="8" spans="3:34" ht="18" customHeight="1" x14ac:dyDescent="0.25">
      <c r="C8" s="536" t="str">
        <f>IF(Brewhouse!V17="Metric", "Beer Volume (Liters)", "Beer Volume (gallons)")</f>
        <v>Beer Volume (gallons)</v>
      </c>
      <c r="D8" s="537"/>
      <c r="E8" s="537"/>
      <c r="F8" s="537"/>
      <c r="G8" s="538"/>
      <c r="I8" s="536" t="str">
        <f>IF(Brewhouse!V17="Metric", "Beer Temperature (degrees C)", "Beer Temperature (degrees F)")</f>
        <v>Beer Temperature (degrees F)</v>
      </c>
      <c r="J8" s="537"/>
      <c r="K8" s="537"/>
      <c r="L8" s="537"/>
      <c r="M8" s="538"/>
      <c r="AA8" t="s">
        <v>982</v>
      </c>
      <c r="AC8" t="s">
        <v>983</v>
      </c>
    </row>
    <row r="9" spans="3:34" ht="18" customHeight="1" x14ac:dyDescent="0.25">
      <c r="C9" s="714">
        <v>5</v>
      </c>
      <c r="D9" s="715"/>
      <c r="E9" s="715"/>
      <c r="F9" s="715"/>
      <c r="G9" s="716"/>
      <c r="I9" s="714">
        <v>70</v>
      </c>
      <c r="J9" s="715"/>
      <c r="K9" s="715"/>
      <c r="L9" s="715"/>
      <c r="M9" s="716"/>
      <c r="AA9">
        <f xml:space="preserve"> 3.0378 - (0.050062 * AG11) + (0.00026555 * AG11^2)</f>
        <v>0.8346549999999997</v>
      </c>
      <c r="AC9">
        <f>(AA9*44)/(0.0821*273)</f>
        <v>1.638528016847139</v>
      </c>
      <c r="AE9" s="336" t="s">
        <v>984</v>
      </c>
      <c r="AG9">
        <f>IF(Brewhouse!V17="Metric",C9,C9*3.78541)</f>
        <v>18.927050000000001</v>
      </c>
      <c r="AH9" t="s">
        <v>985</v>
      </c>
    </row>
    <row r="10" spans="3:34" ht="18" customHeight="1" thickBot="1" x14ac:dyDescent="0.3">
      <c r="AA10" t="s">
        <v>986</v>
      </c>
      <c r="AB10">
        <f>IF(C12="Corn Sugar (monohydrate Glucose)", 0.91,             IF(C12="Table Sugar (Sucrose)", 1, 0.656)                                                )</f>
        <v>1</v>
      </c>
      <c r="AE10" s="336" t="s">
        <v>987</v>
      </c>
      <c r="AG10">
        <f>IF(Brewhouse!V17="Metric", I9, (I9-32)*(5/9))</f>
        <v>21.111111111111111</v>
      </c>
      <c r="AH10" t="s">
        <v>391</v>
      </c>
    </row>
    <row r="11" spans="3:34" ht="18" customHeight="1" thickBot="1" x14ac:dyDescent="0.35">
      <c r="C11" s="536" t="s">
        <v>988</v>
      </c>
      <c r="D11" s="537"/>
      <c r="E11" s="537"/>
      <c r="F11" s="537"/>
      <c r="G11" s="538"/>
      <c r="I11" s="757" t="str">
        <f>IF(Brewhouse!V17="Metric", "Sugar Weight to Use (Grams)", "Sugar Weight to Use (Ounces)")</f>
        <v>Sugar Weight to Use (Ounces)</v>
      </c>
      <c r="J11" s="752"/>
      <c r="K11" s="752"/>
      <c r="L11" s="752"/>
      <c r="M11" s="753"/>
      <c r="AE11" s="337"/>
      <c r="AG11">
        <f>AG10/(5/9)+32</f>
        <v>70</v>
      </c>
      <c r="AH11" t="s">
        <v>989</v>
      </c>
    </row>
    <row r="12" spans="3:34" ht="18" customHeight="1" thickBot="1" x14ac:dyDescent="0.3">
      <c r="C12" s="714" t="s">
        <v>1331</v>
      </c>
      <c r="D12" s="715"/>
      <c r="E12" s="715"/>
      <c r="F12" s="715"/>
      <c r="G12" s="716"/>
      <c r="I12" s="754">
        <f>IF(Brewhouse!V17="Metric", AC12, AC13)</f>
        <v>3.954351437619041</v>
      </c>
      <c r="J12" s="755"/>
      <c r="K12" s="755"/>
      <c r="L12" s="755"/>
      <c r="M12" s="756"/>
      <c r="AB12" t="s">
        <v>990</v>
      </c>
      <c r="AC12">
        <f>((AC6-AC9)*AG9)/(0.5*AB10)</f>
        <v>112.10385659746672</v>
      </c>
      <c r="AE12" s="338"/>
    </row>
    <row r="13" spans="3:34" ht="18" customHeight="1" x14ac:dyDescent="0.25">
      <c r="AB13" t="s">
        <v>991</v>
      </c>
      <c r="AC13">
        <f>AC12*0.035274</f>
        <v>3.954351437619041</v>
      </c>
      <c r="AE13" s="338"/>
    </row>
    <row r="14" spans="3:34" ht="18" customHeight="1" x14ac:dyDescent="0.25">
      <c r="C14" s="11" t="s">
        <v>995</v>
      </c>
      <c r="AE14" s="338"/>
    </row>
    <row r="15" spans="3:34" ht="13.5" customHeight="1" x14ac:dyDescent="0.25">
      <c r="C15" s="11" t="s">
        <v>996</v>
      </c>
      <c r="AA15" s="426" t="s">
        <v>1381</v>
      </c>
      <c r="AB15" s="426">
        <v>1.8</v>
      </c>
      <c r="AC15" t="s">
        <v>1389</v>
      </c>
      <c r="AD15">
        <f>VLOOKUP(O24,AA15:AB22,2,0)</f>
        <v>1.8</v>
      </c>
      <c r="AE15" s="338" t="s">
        <v>1390</v>
      </c>
      <c r="AF15">
        <f>AD15*Brewhouse!C35</f>
        <v>1.8</v>
      </c>
    </row>
    <row r="16" spans="3:34" ht="13.5" customHeight="1" x14ac:dyDescent="0.25">
      <c r="C16" s="11" t="s">
        <v>1011</v>
      </c>
      <c r="AA16" s="426" t="s">
        <v>1382</v>
      </c>
      <c r="AB16" s="426">
        <v>0.7</v>
      </c>
      <c r="AC16" t="s">
        <v>1392</v>
      </c>
      <c r="AD16">
        <f>(I27-(0.5*AE17)-1)/AF15</f>
        <v>4.502671914444444</v>
      </c>
      <c r="AE16" s="338" t="s">
        <v>1394</v>
      </c>
      <c r="AF16">
        <f>AD16/3.28084</f>
        <v>1.3724143556054071</v>
      </c>
    </row>
    <row r="17" spans="3:31" ht="13.5" customHeight="1" x14ac:dyDescent="0.25">
      <c r="C17" s="11" t="s">
        <v>1010</v>
      </c>
      <c r="AA17" s="426" t="s">
        <v>1383</v>
      </c>
      <c r="AB17" s="426">
        <v>0.17</v>
      </c>
      <c r="AC17" s="338" t="s">
        <v>1393</v>
      </c>
      <c r="AD17" s="149"/>
      <c r="AE17" s="338">
        <f>IF(Brewhouse!V17="Metric", O27 * 3.28084, O27)</f>
        <v>2</v>
      </c>
    </row>
    <row r="18" spans="3:31" ht="18" customHeight="1" x14ac:dyDescent="0.25">
      <c r="C18" s="341"/>
      <c r="D18" s="341"/>
      <c r="E18" s="341"/>
      <c r="F18" s="341"/>
      <c r="G18" s="341"/>
      <c r="H18" s="341"/>
      <c r="I18" s="341"/>
      <c r="J18" s="341"/>
      <c r="K18" s="341"/>
      <c r="L18" s="341"/>
      <c r="M18" s="341"/>
      <c r="AA18" s="426" t="s">
        <v>1384</v>
      </c>
      <c r="AB18" s="426">
        <v>0.11</v>
      </c>
    </row>
    <row r="19" spans="3:31" ht="18" customHeight="1" x14ac:dyDescent="0.25">
      <c r="C19" s="340"/>
      <c r="D19" s="340"/>
      <c r="E19" s="340"/>
      <c r="F19" s="340"/>
      <c r="G19" s="340"/>
      <c r="H19" s="340"/>
      <c r="I19" s="340"/>
      <c r="J19" s="340"/>
      <c r="K19" s="340"/>
      <c r="L19" s="340"/>
      <c r="M19" s="340"/>
      <c r="AA19" s="426" t="s">
        <v>1385</v>
      </c>
      <c r="AB19" s="426">
        <v>2.5000000000000001E-2</v>
      </c>
    </row>
    <row r="20" spans="3:31" ht="18" customHeight="1" thickBot="1" x14ac:dyDescent="0.3">
      <c r="AA20" s="426" t="s">
        <v>1386</v>
      </c>
      <c r="AB20" s="426">
        <v>2</v>
      </c>
    </row>
    <row r="21" spans="3:31" ht="18" customHeight="1" thickBot="1" x14ac:dyDescent="0.3">
      <c r="C21" s="757" t="s">
        <v>997</v>
      </c>
      <c r="D21" s="752"/>
      <c r="E21" s="752"/>
      <c r="F21" s="752"/>
      <c r="G21" s="752"/>
      <c r="H21" s="752"/>
      <c r="I21" s="752"/>
      <c r="J21" s="752"/>
      <c r="K21" s="752"/>
      <c r="L21" s="752"/>
      <c r="M21" s="752"/>
      <c r="N21" s="752"/>
      <c r="O21" s="752"/>
      <c r="P21" s="752"/>
      <c r="Q21" s="752"/>
      <c r="R21" s="752"/>
      <c r="S21" s="752"/>
      <c r="T21" s="752"/>
      <c r="U21" s="752"/>
      <c r="V21" s="752"/>
      <c r="W21" s="752"/>
      <c r="X21" s="752"/>
      <c r="Y21" s="753"/>
      <c r="AA21" s="426" t="s">
        <v>1387</v>
      </c>
      <c r="AB21" s="426">
        <v>0.5</v>
      </c>
    </row>
    <row r="22" spans="3:31" ht="18" customHeight="1" x14ac:dyDescent="0.25">
      <c r="AA22" s="426" t="s">
        <v>1388</v>
      </c>
      <c r="AB22" s="426">
        <v>0.2</v>
      </c>
    </row>
    <row r="23" spans="3:31" ht="18" customHeight="1" x14ac:dyDescent="0.25">
      <c r="C23" s="536" t="s">
        <v>979</v>
      </c>
      <c r="D23" s="537"/>
      <c r="E23" s="537"/>
      <c r="F23" s="537"/>
      <c r="G23" s="538"/>
      <c r="I23" s="536" t="s">
        <v>980</v>
      </c>
      <c r="J23" s="537"/>
      <c r="K23" s="537"/>
      <c r="L23" s="537"/>
      <c r="M23" s="538"/>
      <c r="O23" s="536" t="s">
        <v>1380</v>
      </c>
      <c r="P23" s="537"/>
      <c r="Q23" s="537"/>
      <c r="R23" s="537"/>
      <c r="S23" s="538"/>
      <c r="T23" s="427"/>
      <c r="U23" s="427"/>
      <c r="V23" s="427"/>
      <c r="W23" s="427"/>
      <c r="X23" s="427"/>
      <c r="Y23" s="427"/>
      <c r="AA23" t="s">
        <v>992</v>
      </c>
      <c r="AC23">
        <f>IF(Brewhouse!V17="Metric", C27/(5/9)+32,  C27)</f>
        <v>40</v>
      </c>
      <c r="AD23" t="s">
        <v>989</v>
      </c>
    </row>
    <row r="24" spans="3:31" ht="18" customHeight="1" x14ac:dyDescent="0.25">
      <c r="C24" s="758">
        <f>C6</f>
        <v>2.2999999999999998</v>
      </c>
      <c r="D24" s="759"/>
      <c r="E24" s="759"/>
      <c r="F24" s="759"/>
      <c r="G24" s="760"/>
      <c r="I24" s="761"/>
      <c r="J24" s="762"/>
      <c r="K24" s="762"/>
      <c r="L24" s="762"/>
      <c r="M24" s="763"/>
      <c r="O24" s="761" t="s">
        <v>1381</v>
      </c>
      <c r="P24" s="762"/>
      <c r="Q24" s="762"/>
      <c r="R24" s="762"/>
      <c r="S24" s="763"/>
      <c r="T24" s="427"/>
      <c r="U24" s="427"/>
      <c r="V24" s="427"/>
      <c r="W24" s="427"/>
      <c r="X24" s="427"/>
      <c r="Y24" s="427"/>
      <c r="AA24" t="s">
        <v>978</v>
      </c>
      <c r="AC24">
        <f>IF(I24&gt;0, I24, C24)</f>
        <v>2.2999999999999998</v>
      </c>
    </row>
    <row r="25" spans="3:31" ht="18" customHeight="1" thickBot="1" x14ac:dyDescent="0.3"/>
    <row r="26" spans="3:31" ht="18" customHeight="1" thickBot="1" x14ac:dyDescent="0.3">
      <c r="C26" s="536" t="str">
        <f>IF(Brewhouse!V17="Metric", "Beer Temperature (degrees C)", "Beer Temperature (degrees F)")</f>
        <v>Beer Temperature (degrees F)</v>
      </c>
      <c r="D26" s="537"/>
      <c r="E26" s="537"/>
      <c r="F26" s="537"/>
      <c r="G26" s="538"/>
      <c r="I26" s="757" t="s">
        <v>993</v>
      </c>
      <c r="J26" s="752"/>
      <c r="K26" s="752"/>
      <c r="L26" s="752"/>
      <c r="M26" s="753"/>
      <c r="O26" s="767" t="str">
        <f>IF(Brewhouse!V17="Metric", "Faucet Hgt. above Mid of Keg (m)", "Faucet Hgt. above Mid of Keg (Ft)")</f>
        <v>Faucet Hgt. above Mid of Keg (Ft)</v>
      </c>
      <c r="P26" s="537"/>
      <c r="Q26" s="537"/>
      <c r="R26" s="537"/>
      <c r="S26" s="538"/>
      <c r="T26" s="427"/>
      <c r="U26" s="751" t="str">
        <f>IF(Brewhouse!V17="Metric", "Beer Line Length to Use (m)", "Beer Line Length to Use (Ft)")</f>
        <v>Beer Line Length to Use (Ft)</v>
      </c>
      <c r="V26" s="752"/>
      <c r="W26" s="752"/>
      <c r="X26" s="752"/>
      <c r="Y26" s="753"/>
    </row>
    <row r="27" spans="3:31" ht="18" customHeight="1" thickBot="1" x14ac:dyDescent="0.3">
      <c r="C27" s="714">
        <v>40</v>
      </c>
      <c r="D27" s="715"/>
      <c r="E27" s="715"/>
      <c r="F27" s="715"/>
      <c r="G27" s="716"/>
      <c r="I27" s="754">
        <f>-16.6999 - 0.0101059*AC23 + 0.00116512*AC23^2 + 0.173354*AC23*AC24 + 4.24267*AC24 - 0.0684226*AC24^2</f>
        <v>10.104809445999999</v>
      </c>
      <c r="J27" s="755"/>
      <c r="K27" s="755"/>
      <c r="L27" s="755"/>
      <c r="M27" s="756"/>
      <c r="O27" s="764">
        <v>2</v>
      </c>
      <c r="P27" s="765"/>
      <c r="Q27" s="765"/>
      <c r="R27" s="765"/>
      <c r="S27" s="766"/>
      <c r="T27" s="428"/>
      <c r="U27" s="754">
        <f>IF(Brewhouse!V17="Metric", AF16, AD16)</f>
        <v>4.502671914444444</v>
      </c>
      <c r="V27" s="755"/>
      <c r="W27" s="755"/>
      <c r="X27" s="755"/>
      <c r="Y27" s="756"/>
      <c r="AA27" s="339"/>
    </row>
    <row r="29" spans="3:31" x14ac:dyDescent="0.25">
      <c r="C29" s="11" t="s">
        <v>1009</v>
      </c>
    </row>
    <row r="30" spans="3:31" x14ac:dyDescent="0.25">
      <c r="C30" s="11" t="s">
        <v>1401</v>
      </c>
      <c r="P30" t="s">
        <v>1391</v>
      </c>
    </row>
  </sheetData>
  <sheetProtection password="CB17" sheet="1"/>
  <mergeCells count="28">
    <mergeCell ref="O27:S27"/>
    <mergeCell ref="C5:G5"/>
    <mergeCell ref="I5:M5"/>
    <mergeCell ref="C6:G6"/>
    <mergeCell ref="I6:M6"/>
    <mergeCell ref="C8:G8"/>
    <mergeCell ref="C26:G26"/>
    <mergeCell ref="C12:G12"/>
    <mergeCell ref="I12:M12"/>
    <mergeCell ref="O23:S23"/>
    <mergeCell ref="O24:S24"/>
    <mergeCell ref="O26:S26"/>
    <mergeCell ref="U26:Y26"/>
    <mergeCell ref="U27:Y27"/>
    <mergeCell ref="C21:Y21"/>
    <mergeCell ref="C3:M3"/>
    <mergeCell ref="C27:G27"/>
    <mergeCell ref="I27:M27"/>
    <mergeCell ref="C23:G23"/>
    <mergeCell ref="I23:M23"/>
    <mergeCell ref="C24:G24"/>
    <mergeCell ref="I24:M24"/>
    <mergeCell ref="I26:M26"/>
    <mergeCell ref="I8:M8"/>
    <mergeCell ref="C9:G9"/>
    <mergeCell ref="I9:M9"/>
    <mergeCell ref="C11:G11"/>
    <mergeCell ref="I11:M11"/>
  </mergeCells>
  <dataValidations count="2">
    <dataValidation type="list" allowBlank="1" showInputMessage="1" showErrorMessage="1" sqref="C12:G12" xr:uid="{00000000-0002-0000-0700-000000000000}">
      <formula1>Srange</formula1>
    </dataValidation>
    <dataValidation type="list" allowBlank="1" showInputMessage="1" showErrorMessage="1" sqref="O24:S24" xr:uid="{00000000-0002-0000-0700-000001000000}">
      <formula1>ValidLines</formula1>
    </dataValidation>
  </dataValidation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00B050"/>
  </sheetPr>
  <dimension ref="C3:V51"/>
  <sheetViews>
    <sheetView showGridLines="0" showRowColHeaders="0" workbookViewId="0">
      <selection activeCell="C13" sqref="C13:G13"/>
    </sheetView>
  </sheetViews>
  <sheetFormatPr defaultRowHeight="15" x14ac:dyDescent="0.25"/>
  <cols>
    <col min="8" max="8" width="3.7109375" customWidth="1"/>
    <col min="9" max="9" width="88.7109375" customWidth="1"/>
    <col min="10" max="10" width="31.42578125" hidden="1" customWidth="1"/>
    <col min="11" max="11" width="11.7109375" hidden="1" customWidth="1"/>
    <col min="12" max="12" width="22.28515625" hidden="1" customWidth="1"/>
    <col min="13" max="13" width="13" hidden="1" customWidth="1"/>
    <col min="14" max="14" width="0" hidden="1" customWidth="1"/>
    <col min="15" max="15" width="11.140625" hidden="1" customWidth="1"/>
    <col min="16" max="18" width="0" hidden="1" customWidth="1"/>
  </cols>
  <sheetData>
    <row r="3" spans="3:12" x14ac:dyDescent="0.25">
      <c r="C3" s="515" t="s">
        <v>558</v>
      </c>
      <c r="D3" s="516"/>
      <c r="E3" s="516"/>
      <c r="F3" s="516"/>
      <c r="G3" s="517"/>
      <c r="J3" t="s">
        <v>559</v>
      </c>
      <c r="K3" t="s">
        <v>560</v>
      </c>
    </row>
    <row r="4" spans="3:12" x14ac:dyDescent="0.25">
      <c r="C4" s="203">
        <f>Recipe!B6</f>
        <v>0.7</v>
      </c>
      <c r="D4" s="4" t="s">
        <v>1</v>
      </c>
      <c r="E4" s="4"/>
      <c r="F4" s="4"/>
      <c r="G4" s="7"/>
      <c r="J4" s="8" t="s">
        <v>561</v>
      </c>
      <c r="K4" s="8" t="s">
        <v>562</v>
      </c>
    </row>
    <row r="5" spans="3:12" x14ac:dyDescent="0.25">
      <c r="C5" s="308">
        <f>IF(Brewhouse!V17="Metric",  (GravCalcs!F17+GravCalcs!G16)*0.453592, GravCalcs!F17+GravCalcs!G16)</f>
        <v>12.539800000000001</v>
      </c>
      <c r="D5" s="4" t="str">
        <f>IF(Brewhouse!V17="Metric", "Kilograms of Grains", "Pounds of Grains")</f>
        <v>Pounds of Grains</v>
      </c>
      <c r="E5" s="4"/>
      <c r="F5" s="4"/>
      <c r="G5" s="7"/>
      <c r="J5" s="194" t="s">
        <v>521</v>
      </c>
      <c r="K5" s="194">
        <f>IF(Brewhouse!V17="Metric",  Brewhouse!H11*0.264172051, Brewhouse!H11)</f>
        <v>6.25E-2</v>
      </c>
    </row>
    <row r="6" spans="3:12" x14ac:dyDescent="0.25">
      <c r="C6" s="308">
        <f>IF(Brewhouse!AA17="Plato", (-1 * 616.868) + (1111.14 * (GravCalcs!P22+1)) - (630.272 * (GravCalcs!P22+1)^2) + (135.997 * (GravCalcs!P22+1)^3), (GravCalcs!P22+1))</f>
        <v>1.0514331718309859</v>
      </c>
      <c r="D6" s="300" t="str">
        <f>IF(Brewhouse!AA17="Plato", "Pre Boil °Plato (mash only)", "Pre Boil Original Gravity (mash only)")</f>
        <v>Pre Boil Original Gravity (mash only)</v>
      </c>
      <c r="E6" s="4"/>
      <c r="F6" s="4"/>
      <c r="G6" s="7"/>
      <c r="I6" t="s">
        <v>569</v>
      </c>
      <c r="J6" s="4" t="s">
        <v>520</v>
      </c>
      <c r="K6" s="4">
        <f>IF(Brewhouse!V17="Metric", Brewhouse!H5*0.1198264268, Brewhouse!H5)</f>
        <v>0.12</v>
      </c>
    </row>
    <row r="7" spans="3:12" x14ac:dyDescent="0.25">
      <c r="C7" s="308">
        <f>IF(Brewhouse!V17="Metric",  'Total H2O Sub'!J24*3.78541,  'Total H2O Sub'!J24)</f>
        <v>3.9186875000000003</v>
      </c>
      <c r="D7" s="4" t="str">
        <f>IF(Brewhouse!V17="Metric","Strike Water Liters", "Strike Water Gallons")</f>
        <v>Strike Water Gallons</v>
      </c>
      <c r="E7" s="4"/>
      <c r="F7" s="4"/>
      <c r="G7" s="7"/>
      <c r="J7" s="4" t="s">
        <v>525</v>
      </c>
      <c r="K7" s="4">
        <f>(K6*GravCalcs!F17) + (0.22*GravCalcs!G16) + K5</f>
        <v>1.5672760000000001</v>
      </c>
    </row>
    <row r="8" spans="3:12" x14ac:dyDescent="0.25">
      <c r="C8" s="204">
        <f>IF(Brewhouse!V17="Metric",  'Total H2O Sub'!J25*3.78541,  'Total H2O Sub'!J25)</f>
        <v>3.8610884999999997</v>
      </c>
      <c r="D8" s="4" t="str">
        <f>IF(Brewhouse!V17="Metric","Mashout or Sparge Water Liters", "Mashout or Sparge Water Gallons")</f>
        <v>Mashout or Sparge Water Gallons</v>
      </c>
      <c r="E8" s="4"/>
      <c r="F8" s="4"/>
      <c r="G8" s="7"/>
      <c r="J8" s="4" t="s">
        <v>526</v>
      </c>
      <c r="K8" s="4">
        <f>((GravCalcs!P22)*1000)*'Total H2O Sub'!D22</f>
        <v>319.52857999999998</v>
      </c>
    </row>
    <row r="9" spans="3:12" x14ac:dyDescent="0.25">
      <c r="C9" s="205">
        <f>IF(Brewhouse!V17="Metric",  'Total H2O Sub'!D14*3.78541,  'Total H2O Sub'!D14)</f>
        <v>6.25E-2</v>
      </c>
      <c r="D9" s="4" t="str">
        <f>IF(Brewhouse!V17="Metric","Mashtun Deadspace Liters", "Mashtun Deadspace Gallons")</f>
        <v>Mashtun Deadspace Gallons</v>
      </c>
      <c r="E9" s="4"/>
      <c r="F9" s="4"/>
      <c r="G9" s="7"/>
      <c r="J9" s="4" t="s">
        <v>527</v>
      </c>
      <c r="K9" s="4">
        <f>K8/'Total H2O Sub'!D22</f>
        <v>51.433171830985906</v>
      </c>
    </row>
    <row r="10" spans="3:12" x14ac:dyDescent="0.25">
      <c r="C10" s="307">
        <f>IF(Brewhouse!V17="Metric",  'Total H2O Sub'!D22*3.78541,  'Total H2O Sub'!D22)</f>
        <v>6.2125000000000004</v>
      </c>
      <c r="D10" s="8" t="str">
        <f>IF(Brewhouse!V17="Metric","Pre-Boil Volume Liters", "Pre-Boil Volume Gallons")</f>
        <v>Pre-Boil Volume Gallons</v>
      </c>
      <c r="E10" s="8"/>
      <c r="F10" s="8"/>
      <c r="G10" s="9"/>
      <c r="J10" s="4" t="s">
        <v>528</v>
      </c>
      <c r="K10" s="4">
        <f>K8/C4</f>
        <v>456.46940000000001</v>
      </c>
    </row>
    <row r="11" spans="3:12" x14ac:dyDescent="0.25">
      <c r="J11" s="4" t="s">
        <v>529</v>
      </c>
      <c r="K11" s="4">
        <f>K9*('Total H2O Sub'!D22+K7)</f>
        <v>400.13855581458023</v>
      </c>
    </row>
    <row r="12" spans="3:12" x14ac:dyDescent="0.25">
      <c r="C12" s="515" t="s">
        <v>632</v>
      </c>
      <c r="D12" s="516"/>
      <c r="E12" s="516"/>
      <c r="F12" s="516"/>
      <c r="G12" s="517"/>
      <c r="I12" t="s">
        <v>563</v>
      </c>
      <c r="J12" s="318" t="s">
        <v>926</v>
      </c>
      <c r="K12" s="325">
        <f>K11/K10</f>
        <v>0.87659447887323927</v>
      </c>
    </row>
    <row r="13" spans="3:12" x14ac:dyDescent="0.25">
      <c r="C13" s="464" t="s">
        <v>559</v>
      </c>
      <c r="D13" s="465"/>
      <c r="E13" s="465"/>
      <c r="F13" s="465"/>
      <c r="G13" s="466"/>
      <c r="I13" t="s">
        <v>564</v>
      </c>
      <c r="J13" s="195" t="s">
        <v>530</v>
      </c>
      <c r="K13" s="195">
        <f>IF(Brewhouse!V17="Metric", K10*((C16*2.20462262)/(C5*2.20462262)), K10*(C16/C5))</f>
        <v>0</v>
      </c>
    </row>
    <row r="14" spans="3:12" x14ac:dyDescent="0.25">
      <c r="J14" s="302" t="s">
        <v>531</v>
      </c>
      <c r="K14" s="195">
        <f>K5+((K7-K5)*(C16/C5))</f>
        <v>6.25E-2</v>
      </c>
    </row>
    <row r="15" spans="3:12" x14ac:dyDescent="0.25">
      <c r="C15" s="515" t="str">
        <f>IF(Brewhouse!V17="Metric","Kilograms of Grains for Efficiency Simulation", "Pounds of Grains for Efficiency Simulation")</f>
        <v>Pounds of Grains for Efficiency Simulation</v>
      </c>
      <c r="D15" s="516"/>
      <c r="E15" s="516"/>
      <c r="F15" s="516"/>
      <c r="G15" s="517"/>
      <c r="J15" s="195" t="s">
        <v>532</v>
      </c>
      <c r="K15" s="196">
        <f>'Total H2O Sub'!D22+K14</f>
        <v>6.2750000000000004</v>
      </c>
      <c r="L15" s="306">
        <f>K15-K14</f>
        <v>6.2125000000000004</v>
      </c>
    </row>
    <row r="16" spans="3:12" x14ac:dyDescent="0.25">
      <c r="C16" s="464"/>
      <c r="D16" s="465"/>
      <c r="E16" s="465"/>
      <c r="F16" s="465"/>
      <c r="G16" s="466"/>
      <c r="I16" t="s">
        <v>571</v>
      </c>
      <c r="J16" s="195" t="s">
        <v>927</v>
      </c>
      <c r="K16" s="195">
        <f>K12*K13</f>
        <v>0</v>
      </c>
    </row>
    <row r="17" spans="3:22" x14ac:dyDescent="0.25">
      <c r="J17" s="195" t="s">
        <v>533</v>
      </c>
      <c r="K17" s="195">
        <f>K16*('Total H2O Sub'!D22/K15)</f>
        <v>0</v>
      </c>
    </row>
    <row r="18" spans="3:22" ht="15" customHeight="1" x14ac:dyDescent="0.25">
      <c r="C18" s="768" t="s">
        <v>572</v>
      </c>
      <c r="D18" s="769"/>
      <c r="E18" s="769"/>
      <c r="F18" s="769"/>
      <c r="G18" s="770"/>
      <c r="J18" s="197" t="s">
        <v>534</v>
      </c>
      <c r="K18" s="198" t="e">
        <f>K17/K13</f>
        <v>#DIV/0!</v>
      </c>
    </row>
    <row r="19" spans="3:22" x14ac:dyDescent="0.25">
      <c r="C19" s="771"/>
      <c r="D19" s="772"/>
      <c r="E19" s="772"/>
      <c r="F19" s="772"/>
      <c r="G19" s="773"/>
      <c r="J19" s="64" t="s">
        <v>553</v>
      </c>
      <c r="K19" s="193"/>
    </row>
    <row r="20" spans="3:22" x14ac:dyDescent="0.25">
      <c r="C20" s="771"/>
      <c r="D20" s="772"/>
      <c r="E20" s="772"/>
      <c r="F20" s="772"/>
      <c r="G20" s="773"/>
      <c r="J20" s="64" t="s">
        <v>535</v>
      </c>
      <c r="K20" s="64">
        <f>'Total H2O Sub'!J24/(GravCalcs!F17+GravCalcs!G16)</f>
        <v>0.3125</v>
      </c>
      <c r="L20" s="64" t="s">
        <v>542</v>
      </c>
      <c r="M20" s="64">
        <f>K16</f>
        <v>0</v>
      </c>
    </row>
    <row r="21" spans="3:22" ht="15" customHeight="1" x14ac:dyDescent="0.25">
      <c r="C21" s="774" t="e">
        <f>IF(C13="No-Sparge to No-Sparge", IF(K12&gt;1, "Baseline Efficiency not Possible - Check Recipe and Equipment", K18),    IF(C13="No-Sparge to Sparge", IF(K12&gt;1, "Baseline Efficiency not Possible - Check Recipe and Equipment", M26),   IF(C13="Sparge to Sparge", IF(K35&gt;1, "Baseline Efficiency not Possible - Check Recipe and Equipment", M44),  IF(C13="Sparge to No-Sparge", IF(K35&gt;1, "Baseline Efficiency not Possible - Check Recipe and Equipment", M49),  "Choose a Valid Value in Conversion Type Box") )))</f>
        <v>#DIV/0!</v>
      </c>
      <c r="D21" s="775"/>
      <c r="E21" s="775"/>
      <c r="F21" s="775"/>
      <c r="G21" s="776"/>
      <c r="J21" s="64" t="s">
        <v>536</v>
      </c>
      <c r="K21" s="64">
        <f>'Total H2O Sub'!J24* (C16/C5)</f>
        <v>0</v>
      </c>
      <c r="L21" s="64" t="s">
        <v>543</v>
      </c>
      <c r="M21" s="64" t="e">
        <f>M20*((K21-K23)/K21)</f>
        <v>#DIV/0!</v>
      </c>
    </row>
    <row r="22" spans="3:22" ht="15" customHeight="1" x14ac:dyDescent="0.25">
      <c r="C22" s="777"/>
      <c r="D22" s="778"/>
      <c r="E22" s="778"/>
      <c r="F22" s="778"/>
      <c r="G22" s="779"/>
      <c r="J22" s="64" t="s">
        <v>537</v>
      </c>
      <c r="K22" s="64">
        <f>((K6*GravCalcs!F17) + (0.22*GravCalcs!G16)) * (C16/C5)</f>
        <v>0</v>
      </c>
      <c r="L22" s="64" t="s">
        <v>544</v>
      </c>
      <c r="M22" s="64" t="e">
        <f>(K23/K21)*M20</f>
        <v>#DIV/0!</v>
      </c>
    </row>
    <row r="23" spans="3:22" x14ac:dyDescent="0.25">
      <c r="C23" s="777"/>
      <c r="D23" s="778"/>
      <c r="E23" s="778"/>
      <c r="F23" s="778"/>
      <c r="G23" s="779"/>
      <c r="I23" t="s">
        <v>566</v>
      </c>
      <c r="J23" s="64" t="s">
        <v>538</v>
      </c>
      <c r="K23" s="64">
        <f>K22+K5</f>
        <v>6.25E-2</v>
      </c>
      <c r="L23" s="64" t="s">
        <v>545</v>
      </c>
      <c r="M23" s="64" t="e">
        <f>M22*(K25/(K25+K23))</f>
        <v>#DIV/0!</v>
      </c>
    </row>
    <row r="24" spans="3:22" x14ac:dyDescent="0.25">
      <c r="C24" s="777"/>
      <c r="D24" s="778"/>
      <c r="E24" s="778"/>
      <c r="F24" s="778"/>
      <c r="G24" s="779"/>
      <c r="I24" t="s">
        <v>567</v>
      </c>
      <c r="J24" s="64" t="s">
        <v>540</v>
      </c>
      <c r="K24" s="309">
        <f>('Total H2O Sub'!J24+'Total H2O Sub'!J25)-K7+K23</f>
        <v>6.2750000000000004</v>
      </c>
      <c r="L24" s="64" t="s">
        <v>546</v>
      </c>
      <c r="M24" s="64" t="e">
        <f>M21+M23</f>
        <v>#DIV/0!</v>
      </c>
    </row>
    <row r="25" spans="3:22" x14ac:dyDescent="0.25">
      <c r="C25" s="777"/>
      <c r="D25" s="778"/>
      <c r="E25" s="778"/>
      <c r="F25" s="778"/>
      <c r="G25" s="779"/>
      <c r="I25" t="s">
        <v>570</v>
      </c>
      <c r="J25" s="64" t="s">
        <v>539</v>
      </c>
      <c r="K25" s="310">
        <f>K24-K21</f>
        <v>6.2750000000000004</v>
      </c>
      <c r="L25" s="64" t="s">
        <v>547</v>
      </c>
      <c r="M25" s="64" t="e">
        <f>M24/K13</f>
        <v>#DIV/0!</v>
      </c>
    </row>
    <row r="26" spans="3:22" x14ac:dyDescent="0.25">
      <c r="C26" s="777"/>
      <c r="D26" s="778"/>
      <c r="E26" s="778"/>
      <c r="F26" s="778"/>
      <c r="G26" s="779"/>
      <c r="L26" s="64" t="s">
        <v>557</v>
      </c>
      <c r="M26" s="64" t="e">
        <f>IF(K25&gt;=-0.001,M25,"Mash Thickness would result in Negative Sparge Water Volume for this grain weight.")</f>
        <v>#DIV/0!</v>
      </c>
    </row>
    <row r="27" spans="3:22" x14ac:dyDescent="0.25">
      <c r="C27" s="780"/>
      <c r="D27" s="781"/>
      <c r="E27" s="781"/>
      <c r="F27" s="781"/>
      <c r="G27" s="782"/>
      <c r="J27" t="s">
        <v>552</v>
      </c>
    </row>
    <row r="28" spans="3:22" x14ac:dyDescent="0.25">
      <c r="J28" t="s">
        <v>523</v>
      </c>
      <c r="K28">
        <f>GravCalcs!P22</f>
        <v>5.1433171830985905E-2</v>
      </c>
    </row>
    <row r="29" spans="3:22" ht="15.75" thickBot="1" x14ac:dyDescent="0.3">
      <c r="J29" t="s">
        <v>522</v>
      </c>
      <c r="K29">
        <f>((((K28* 'Total H2O Sub'!J25)+(K28*K7))* 'Total H2O Sub'!J24)+(K28*( 'Total H2O Sub'!J25^2))-(K28*(K7^2)))/((( 'Total H2O Sub'!J25+K7)* 'Total H2O Sub'!J24)-(K7^2))</f>
        <v>9.2184541304446546E-2</v>
      </c>
      <c r="L29">
        <f>(K35*K10)/C7</f>
        <v>92.18454130444654</v>
      </c>
    </row>
    <row r="30" spans="3:22" ht="15.75" thickTop="1" x14ac:dyDescent="0.25">
      <c r="C30" s="207" t="s">
        <v>573</v>
      </c>
      <c r="D30" s="208"/>
      <c r="E30" s="208"/>
      <c r="F30" s="208"/>
      <c r="G30" s="208"/>
      <c r="H30" s="208"/>
      <c r="I30" s="293"/>
      <c r="J30" s="208" t="s">
        <v>524</v>
      </c>
      <c r="K30" s="208">
        <f>(K7*K29)/(K7+'Total H2O Sub'!J25)</f>
        <v>2.6615497017097464E-2</v>
      </c>
      <c r="L30" s="208"/>
      <c r="M30" s="208"/>
      <c r="N30" s="210"/>
      <c r="O30" s="210"/>
      <c r="P30" s="210"/>
      <c r="Q30" s="210"/>
      <c r="R30" s="210"/>
      <c r="S30" s="206"/>
      <c r="T30" s="206"/>
      <c r="U30" s="206"/>
      <c r="V30" s="206"/>
    </row>
    <row r="31" spans="3:22" x14ac:dyDescent="0.25">
      <c r="C31" s="209" t="s">
        <v>565</v>
      </c>
      <c r="D31" s="210"/>
      <c r="E31" s="210"/>
      <c r="F31" s="210"/>
      <c r="G31" s="210"/>
      <c r="H31" s="210"/>
      <c r="I31" s="294"/>
      <c r="J31" s="210" t="s">
        <v>541</v>
      </c>
      <c r="K31" s="211">
        <f>(K29*1000)*('Total H2O Sub'!J24-K7)</f>
        <v>216.76379054550063</v>
      </c>
      <c r="L31" s="210"/>
      <c r="M31" s="210"/>
      <c r="N31" s="210"/>
      <c r="O31" s="210"/>
      <c r="P31" s="210"/>
      <c r="Q31" s="210"/>
      <c r="R31" s="210"/>
      <c r="S31" s="206"/>
      <c r="T31" s="206"/>
      <c r="U31" s="206"/>
      <c r="V31" s="206"/>
    </row>
    <row r="32" spans="3:22" ht="15.75" thickBot="1" x14ac:dyDescent="0.3">
      <c r="C32" s="212" t="s">
        <v>568</v>
      </c>
      <c r="D32" s="213"/>
      <c r="E32" s="213"/>
      <c r="F32" s="213"/>
      <c r="G32" s="213"/>
      <c r="H32" s="213"/>
      <c r="I32" s="295"/>
      <c r="J32" s="213" t="s">
        <v>548</v>
      </c>
      <c r="K32" s="214">
        <f>(K30*1000)*('Total H2O Sub'!J25)</f>
        <v>102.76478945449931</v>
      </c>
      <c r="L32" s="213"/>
      <c r="M32" s="213"/>
      <c r="N32" s="210"/>
      <c r="O32" s="210"/>
      <c r="P32" s="210"/>
      <c r="Q32" s="210"/>
      <c r="R32" s="210"/>
      <c r="S32" s="206"/>
      <c r="T32" s="206"/>
      <c r="U32" s="206"/>
      <c r="V32" s="206"/>
    </row>
    <row r="33" spans="10:18" ht="15.75" thickTop="1" x14ac:dyDescent="0.25">
      <c r="J33" t="s">
        <v>549</v>
      </c>
      <c r="K33" s="155">
        <f>K31+K32</f>
        <v>319.52857999999992</v>
      </c>
    </row>
    <row r="34" spans="10:18" x14ac:dyDescent="0.25">
      <c r="J34" t="s">
        <v>550</v>
      </c>
      <c r="K34">
        <f>K31*('Total H2O Sub'!J24/('Total H2O Sub'!J24-K7))</f>
        <v>361.24240970296836</v>
      </c>
      <c r="L34">
        <f>K35*K13</f>
        <v>0</v>
      </c>
    </row>
    <row r="35" spans="10:18" x14ac:dyDescent="0.25">
      <c r="J35" t="s">
        <v>926</v>
      </c>
      <c r="K35" s="323">
        <f>K34/K10</f>
        <v>0.79138362769326565</v>
      </c>
    </row>
    <row r="37" spans="10:18" x14ac:dyDescent="0.25">
      <c r="J37" s="199" t="s">
        <v>551</v>
      </c>
      <c r="K37" s="199"/>
      <c r="L37" s="199"/>
      <c r="M37" s="199"/>
    </row>
    <row r="38" spans="10:18" x14ac:dyDescent="0.25">
      <c r="J38" s="199" t="s">
        <v>535</v>
      </c>
      <c r="K38" s="199">
        <f t="shared" ref="K38:K43" si="0">K20</f>
        <v>0.3125</v>
      </c>
      <c r="L38" s="199" t="s">
        <v>542</v>
      </c>
      <c r="M38" s="199">
        <f>K35*K13</f>
        <v>0</v>
      </c>
    </row>
    <row r="39" spans="10:18" x14ac:dyDescent="0.25">
      <c r="J39" s="199" t="s">
        <v>536</v>
      </c>
      <c r="K39" s="199">
        <f t="shared" si="0"/>
        <v>0</v>
      </c>
      <c r="L39" s="199" t="s">
        <v>543</v>
      </c>
      <c r="M39" s="199" t="e">
        <f>M38*((N39)/K39)</f>
        <v>#DIV/0!</v>
      </c>
      <c r="N39">
        <f>IF(P39&gt;0, P39, 0)</f>
        <v>0</v>
      </c>
      <c r="O39" t="s">
        <v>936</v>
      </c>
      <c r="P39">
        <f>K39-K41</f>
        <v>-6.25E-2</v>
      </c>
      <c r="Q39" s="322"/>
    </row>
    <row r="40" spans="10:18" x14ac:dyDescent="0.25">
      <c r="J40" s="199" t="s">
        <v>537</v>
      </c>
      <c r="K40" s="199">
        <f t="shared" si="0"/>
        <v>0</v>
      </c>
      <c r="L40" s="199" t="s">
        <v>544</v>
      </c>
      <c r="M40" s="199" t="e">
        <f>(N40/K39)*M38</f>
        <v>#DIV/0!</v>
      </c>
      <c r="N40">
        <f>K39-N39</f>
        <v>0</v>
      </c>
      <c r="O40" t="s">
        <v>937</v>
      </c>
      <c r="P40" s="322"/>
    </row>
    <row r="41" spans="10:18" x14ac:dyDescent="0.25">
      <c r="J41" s="199" t="s">
        <v>538</v>
      </c>
      <c r="K41" s="199">
        <f t="shared" si="0"/>
        <v>6.25E-2</v>
      </c>
      <c r="L41" s="199" t="s">
        <v>545</v>
      </c>
      <c r="M41" s="199" t="e">
        <f>M40*(P41/Q41)</f>
        <v>#DIV/0!</v>
      </c>
      <c r="O41" t="s">
        <v>938</v>
      </c>
      <c r="P41" s="306">
        <f>K42-K41-N39</f>
        <v>6.2125000000000004</v>
      </c>
      <c r="Q41" s="306">
        <f>N40+K43</f>
        <v>6.2750000000000004</v>
      </c>
      <c r="R41" t="s">
        <v>939</v>
      </c>
    </row>
    <row r="42" spans="10:18" x14ac:dyDescent="0.25">
      <c r="J42" s="199" t="s">
        <v>540</v>
      </c>
      <c r="K42" s="200">
        <f t="shared" si="0"/>
        <v>6.2750000000000004</v>
      </c>
      <c r="L42" s="199" t="s">
        <v>546</v>
      </c>
      <c r="M42" s="199" t="e">
        <f>M39+M41</f>
        <v>#DIV/0!</v>
      </c>
    </row>
    <row r="43" spans="10:18" x14ac:dyDescent="0.25">
      <c r="J43" s="199" t="s">
        <v>539</v>
      </c>
      <c r="K43" s="200">
        <f t="shared" si="0"/>
        <v>6.2750000000000004</v>
      </c>
      <c r="L43" s="199" t="s">
        <v>547</v>
      </c>
      <c r="M43" s="199" t="e">
        <f>M42/K13</f>
        <v>#DIV/0!</v>
      </c>
    </row>
    <row r="44" spans="10:18" x14ac:dyDescent="0.25">
      <c r="L44" s="199" t="s">
        <v>557</v>
      </c>
      <c r="M44" s="199" t="e">
        <f>IF(K43&gt;=-0.001, M43, "Mash Thickness would result in Negative Sparge Water Volume for this grain weight.")</f>
        <v>#DIV/0!</v>
      </c>
    </row>
    <row r="45" spans="10:18" x14ac:dyDescent="0.25">
      <c r="J45" s="64" t="s">
        <v>554</v>
      </c>
      <c r="K45" s="64"/>
      <c r="L45" s="323"/>
      <c r="M45" s="323"/>
    </row>
    <row r="46" spans="10:18" x14ac:dyDescent="0.25">
      <c r="J46" s="64" t="s">
        <v>535</v>
      </c>
      <c r="K46" s="64">
        <f>K20</f>
        <v>0.3125</v>
      </c>
      <c r="L46" s="64" t="s">
        <v>542</v>
      </c>
      <c r="M46" s="64">
        <f>K35*K13</f>
        <v>0</v>
      </c>
    </row>
    <row r="47" spans="10:18" x14ac:dyDescent="0.25">
      <c r="J47" s="64" t="s">
        <v>536</v>
      </c>
      <c r="K47" s="64">
        <f>K21</f>
        <v>0</v>
      </c>
      <c r="L47" s="64" t="s">
        <v>555</v>
      </c>
      <c r="M47" s="64">
        <f>M46/K50</f>
        <v>0</v>
      </c>
    </row>
    <row r="48" spans="10:18" x14ac:dyDescent="0.25">
      <c r="J48" s="64" t="s">
        <v>537</v>
      </c>
      <c r="K48" s="64">
        <f>K22</f>
        <v>0</v>
      </c>
      <c r="L48" s="64" t="s">
        <v>556</v>
      </c>
      <c r="M48" s="326">
        <f>(K50-K49)*M47</f>
        <v>0</v>
      </c>
    </row>
    <row r="49" spans="10:13" x14ac:dyDescent="0.25">
      <c r="J49" s="64" t="s">
        <v>538</v>
      </c>
      <c r="K49" s="64">
        <f>K23</f>
        <v>6.25E-2</v>
      </c>
      <c r="L49" s="64" t="s">
        <v>547</v>
      </c>
      <c r="M49" s="64" t="e">
        <f>M48/K13</f>
        <v>#DIV/0!</v>
      </c>
    </row>
    <row r="50" spans="10:13" x14ac:dyDescent="0.25">
      <c r="J50" s="64" t="s">
        <v>540</v>
      </c>
      <c r="K50" s="326">
        <f>K24</f>
        <v>6.2750000000000004</v>
      </c>
      <c r="L50" s="324"/>
      <c r="M50" s="323"/>
    </row>
    <row r="51" spans="10:13" x14ac:dyDescent="0.25">
      <c r="J51" s="201"/>
      <c r="K51" s="202"/>
      <c r="L51" s="201"/>
      <c r="M51" s="201"/>
    </row>
  </sheetData>
  <sheetProtection password="CB17" sheet="1"/>
  <mergeCells count="7">
    <mergeCell ref="C3:G3"/>
    <mergeCell ref="C18:G20"/>
    <mergeCell ref="C21:G27"/>
    <mergeCell ref="C13:G13"/>
    <mergeCell ref="C12:G12"/>
    <mergeCell ref="C15:G15"/>
    <mergeCell ref="C16:G16"/>
  </mergeCells>
  <dataValidations count="1">
    <dataValidation type="list" showInputMessage="1" showErrorMessage="1" sqref="C13" xr:uid="{00000000-0002-0000-0800-000000000000}">
      <formula1>SpargeType</formula1>
    </dataValidation>
  </dataValidation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6">
    <tabColor rgb="FFFFC000"/>
  </sheetPr>
  <dimension ref="A1:X42"/>
  <sheetViews>
    <sheetView showGridLines="0" showRowColHeaders="0" workbookViewId="0">
      <selection activeCell="M6" sqref="M6"/>
    </sheetView>
  </sheetViews>
  <sheetFormatPr defaultRowHeight="15" x14ac:dyDescent="0.25"/>
  <cols>
    <col min="9" max="9" width="7.42578125" customWidth="1"/>
    <col min="10" max="13" width="9.140625" customWidth="1"/>
  </cols>
  <sheetData>
    <row r="1" spans="1:24" ht="16.5" x14ac:dyDescent="0.3">
      <c r="A1" s="783"/>
      <c r="B1" s="784"/>
      <c r="C1" s="784"/>
      <c r="D1" s="784"/>
      <c r="E1" s="784"/>
      <c r="F1" s="784"/>
      <c r="G1" s="784"/>
      <c r="H1" s="784"/>
      <c r="I1" s="784"/>
      <c r="J1" s="785"/>
    </row>
    <row r="2" spans="1:24" ht="16.5" x14ac:dyDescent="0.3">
      <c r="A2" s="783"/>
      <c r="B2" s="784"/>
      <c r="C2" s="784"/>
      <c r="D2" s="784"/>
      <c r="E2" s="784"/>
      <c r="F2" s="784"/>
      <c r="G2" s="784"/>
      <c r="H2" s="784"/>
      <c r="I2" s="784"/>
      <c r="J2" s="785"/>
    </row>
    <row r="3" spans="1:24" ht="16.5" x14ac:dyDescent="0.3">
      <c r="A3" s="783"/>
      <c r="B3" s="784"/>
      <c r="C3" s="784"/>
      <c r="D3" s="784"/>
      <c r="E3" s="784"/>
      <c r="F3" s="784"/>
      <c r="G3" s="784"/>
      <c r="H3" s="784"/>
      <c r="I3" s="784"/>
      <c r="J3" s="785"/>
    </row>
    <row r="4" spans="1:24" ht="16.5" x14ac:dyDescent="0.3">
      <c r="A4" s="783"/>
      <c r="B4" s="784"/>
      <c r="C4" s="784"/>
      <c r="D4" s="784"/>
      <c r="E4" s="784"/>
      <c r="F4" s="784"/>
      <c r="G4" s="784"/>
      <c r="H4" s="784"/>
      <c r="I4" s="784"/>
      <c r="J4" s="785"/>
    </row>
    <row r="5" spans="1:24" ht="16.5" x14ac:dyDescent="0.3">
      <c r="A5" s="783"/>
      <c r="B5" s="784"/>
      <c r="C5" s="784"/>
      <c r="D5" s="784"/>
      <c r="E5" s="784"/>
      <c r="F5" s="784"/>
      <c r="G5" s="784"/>
      <c r="H5" s="784"/>
      <c r="I5" s="784"/>
      <c r="J5" s="785"/>
      <c r="M5" s="642">
        <v>2</v>
      </c>
      <c r="N5" s="642"/>
      <c r="O5" s="642">
        <v>27</v>
      </c>
      <c r="P5" s="642"/>
      <c r="Q5" s="642"/>
      <c r="R5" s="642"/>
      <c r="S5" s="642">
        <v>10</v>
      </c>
      <c r="T5" s="642"/>
      <c r="U5" s="642">
        <v>2</v>
      </c>
      <c r="V5" s="642"/>
      <c r="W5" s="642">
        <v>8</v>
      </c>
      <c r="X5" s="642"/>
    </row>
    <row r="6" spans="1:24" ht="16.5" x14ac:dyDescent="0.3">
      <c r="A6" s="783"/>
      <c r="B6" s="784"/>
      <c r="C6" s="784"/>
      <c r="D6" s="784"/>
      <c r="E6" s="784"/>
      <c r="F6" s="784"/>
      <c r="G6" s="784"/>
      <c r="H6" s="784"/>
      <c r="I6" s="784"/>
      <c r="J6" s="785"/>
    </row>
    <row r="7" spans="1:24" ht="16.5" x14ac:dyDescent="0.3">
      <c r="A7" s="783"/>
      <c r="B7" s="784"/>
      <c r="C7" s="784"/>
      <c r="D7" s="784"/>
      <c r="E7" s="784"/>
      <c r="F7" s="784"/>
      <c r="G7" s="784"/>
      <c r="H7" s="784"/>
      <c r="I7" s="784"/>
      <c r="J7" s="785"/>
    </row>
    <row r="8" spans="1:24" ht="16.5" x14ac:dyDescent="0.3">
      <c r="A8" s="783"/>
      <c r="B8" s="784"/>
      <c r="C8" s="784"/>
      <c r="D8" s="784"/>
      <c r="E8" s="784"/>
      <c r="F8" s="784"/>
      <c r="G8" s="784"/>
      <c r="H8" s="784"/>
      <c r="I8" s="784"/>
      <c r="J8" s="785"/>
    </row>
    <row r="9" spans="1:24" ht="16.5" x14ac:dyDescent="0.3">
      <c r="A9" s="783"/>
      <c r="B9" s="784"/>
      <c r="C9" s="784"/>
      <c r="D9" s="784"/>
      <c r="E9" s="784"/>
      <c r="F9" s="784"/>
      <c r="G9" s="784"/>
      <c r="H9" s="784"/>
      <c r="I9" s="784"/>
      <c r="J9" s="785"/>
    </row>
    <row r="10" spans="1:24" ht="16.5" x14ac:dyDescent="0.3">
      <c r="A10" s="783"/>
      <c r="B10" s="784"/>
      <c r="C10" s="784"/>
      <c r="D10" s="784"/>
      <c r="E10" s="784"/>
      <c r="F10" s="784"/>
      <c r="G10" s="784"/>
      <c r="H10" s="784"/>
      <c r="I10" s="784"/>
      <c r="J10" s="785"/>
    </row>
    <row r="11" spans="1:24" ht="16.5" x14ac:dyDescent="0.3">
      <c r="A11" s="783"/>
      <c r="B11" s="784"/>
      <c r="C11" s="784"/>
      <c r="D11" s="784"/>
      <c r="E11" s="784"/>
      <c r="F11" s="784"/>
      <c r="G11" s="784"/>
      <c r="H11" s="784"/>
      <c r="I11" s="784"/>
      <c r="J11" s="785"/>
    </row>
    <row r="12" spans="1:24" ht="16.5" x14ac:dyDescent="0.3">
      <c r="A12" s="783"/>
      <c r="B12" s="784"/>
      <c r="C12" s="784"/>
      <c r="D12" s="784"/>
      <c r="E12" s="784"/>
      <c r="F12" s="784"/>
      <c r="G12" s="784"/>
      <c r="H12" s="784"/>
      <c r="I12" s="784"/>
      <c r="J12" s="785"/>
    </row>
    <row r="13" spans="1:24" ht="16.5" x14ac:dyDescent="0.3">
      <c r="A13" s="783"/>
      <c r="B13" s="784"/>
      <c r="C13" s="784"/>
      <c r="D13" s="784"/>
      <c r="E13" s="784"/>
      <c r="F13" s="784"/>
      <c r="G13" s="784"/>
      <c r="H13" s="784"/>
      <c r="I13" s="784"/>
      <c r="J13" s="785"/>
    </row>
    <row r="14" spans="1:24" ht="16.5" x14ac:dyDescent="0.3">
      <c r="A14" s="783"/>
      <c r="B14" s="784"/>
      <c r="C14" s="784"/>
      <c r="D14" s="784"/>
      <c r="E14" s="784"/>
      <c r="F14" s="784"/>
      <c r="G14" s="784"/>
      <c r="H14" s="784"/>
      <c r="I14" s="784"/>
      <c r="J14" s="785"/>
    </row>
    <row r="15" spans="1:24" ht="16.5" x14ac:dyDescent="0.3">
      <c r="A15" s="783"/>
      <c r="B15" s="784"/>
      <c r="C15" s="784"/>
      <c r="D15" s="784"/>
      <c r="E15" s="784"/>
      <c r="F15" s="784"/>
      <c r="G15" s="784"/>
      <c r="H15" s="784"/>
      <c r="I15" s="784"/>
      <c r="J15" s="785"/>
    </row>
    <row r="16" spans="1:24" ht="16.5" x14ac:dyDescent="0.3">
      <c r="A16" s="783"/>
      <c r="B16" s="784"/>
      <c r="C16" s="784"/>
      <c r="D16" s="784"/>
      <c r="E16" s="784"/>
      <c r="F16" s="784"/>
      <c r="G16" s="784"/>
      <c r="H16" s="784"/>
      <c r="I16" s="784"/>
      <c r="J16" s="785"/>
    </row>
    <row r="17" spans="1:10" ht="16.5" x14ac:dyDescent="0.3">
      <c r="A17" s="783"/>
      <c r="B17" s="784"/>
      <c r="C17" s="784"/>
      <c r="D17" s="784"/>
      <c r="E17" s="784"/>
      <c r="F17" s="784"/>
      <c r="G17" s="784"/>
      <c r="H17" s="784"/>
      <c r="I17" s="784"/>
      <c r="J17" s="785"/>
    </row>
    <row r="18" spans="1:10" ht="16.5" x14ac:dyDescent="0.3">
      <c r="A18" s="783"/>
      <c r="B18" s="784"/>
      <c r="C18" s="784"/>
      <c r="D18" s="784"/>
      <c r="E18" s="784"/>
      <c r="F18" s="784"/>
      <c r="G18" s="784"/>
      <c r="H18" s="784"/>
      <c r="I18" s="784"/>
      <c r="J18" s="785"/>
    </row>
    <row r="19" spans="1:10" ht="16.5" x14ac:dyDescent="0.3">
      <c r="A19" s="783"/>
      <c r="B19" s="784"/>
      <c r="C19" s="784"/>
      <c r="D19" s="784"/>
      <c r="E19" s="784"/>
      <c r="F19" s="784"/>
      <c r="G19" s="784"/>
      <c r="H19" s="784"/>
      <c r="I19" s="784"/>
      <c r="J19" s="785"/>
    </row>
    <row r="20" spans="1:10" ht="16.5" x14ac:dyDescent="0.3">
      <c r="A20" s="783"/>
      <c r="B20" s="784"/>
      <c r="C20" s="784"/>
      <c r="D20" s="784"/>
      <c r="E20" s="784"/>
      <c r="F20" s="784"/>
      <c r="G20" s="784"/>
      <c r="H20" s="784"/>
      <c r="I20" s="784"/>
      <c r="J20" s="785"/>
    </row>
    <row r="21" spans="1:10" ht="16.5" x14ac:dyDescent="0.3">
      <c r="A21" s="783"/>
      <c r="B21" s="784"/>
      <c r="C21" s="784"/>
      <c r="D21" s="784"/>
      <c r="E21" s="784"/>
      <c r="F21" s="784"/>
      <c r="G21" s="784"/>
      <c r="H21" s="784"/>
      <c r="I21" s="784"/>
      <c r="J21" s="785"/>
    </row>
    <row r="22" spans="1:10" ht="16.5" x14ac:dyDescent="0.3">
      <c r="A22" s="783"/>
      <c r="B22" s="784"/>
      <c r="C22" s="784"/>
      <c r="D22" s="784"/>
      <c r="E22" s="784"/>
      <c r="F22" s="784"/>
      <c r="G22" s="784"/>
      <c r="H22" s="784"/>
      <c r="I22" s="784"/>
      <c r="J22" s="785"/>
    </row>
    <row r="23" spans="1:10" ht="16.5" x14ac:dyDescent="0.3">
      <c r="A23" s="783"/>
      <c r="B23" s="784"/>
      <c r="C23" s="784"/>
      <c r="D23" s="784"/>
      <c r="E23" s="784"/>
      <c r="F23" s="784"/>
      <c r="G23" s="784"/>
      <c r="H23" s="784"/>
      <c r="I23" s="784"/>
      <c r="J23" s="785"/>
    </row>
    <row r="24" spans="1:10" ht="16.5" x14ac:dyDescent="0.3">
      <c r="A24" s="783"/>
      <c r="B24" s="784"/>
      <c r="C24" s="784"/>
      <c r="D24" s="784"/>
      <c r="E24" s="784"/>
      <c r="F24" s="784"/>
      <c r="G24" s="784"/>
      <c r="H24" s="784"/>
      <c r="I24" s="784"/>
      <c r="J24" s="785"/>
    </row>
    <row r="25" spans="1:10" ht="16.5" x14ac:dyDescent="0.3">
      <c r="A25" s="783"/>
      <c r="B25" s="784"/>
      <c r="C25" s="784"/>
      <c r="D25" s="784"/>
      <c r="E25" s="784"/>
      <c r="F25" s="784"/>
      <c r="G25" s="784"/>
      <c r="H25" s="784"/>
      <c r="I25" s="784"/>
      <c r="J25" s="785"/>
    </row>
    <row r="26" spans="1:10" ht="16.5" x14ac:dyDescent="0.3">
      <c r="A26" s="783"/>
      <c r="B26" s="784"/>
      <c r="C26" s="784"/>
      <c r="D26" s="784"/>
      <c r="E26" s="784"/>
      <c r="F26" s="784"/>
      <c r="G26" s="784"/>
      <c r="H26" s="784"/>
      <c r="I26" s="784"/>
      <c r="J26" s="785"/>
    </row>
    <row r="27" spans="1:10" ht="16.5" x14ac:dyDescent="0.3">
      <c r="A27" s="783"/>
      <c r="B27" s="784"/>
      <c r="C27" s="784"/>
      <c r="D27" s="784"/>
      <c r="E27" s="784"/>
      <c r="F27" s="784"/>
      <c r="G27" s="784"/>
      <c r="H27" s="784"/>
      <c r="I27" s="784"/>
      <c r="J27" s="785"/>
    </row>
    <row r="28" spans="1:10" ht="16.5" x14ac:dyDescent="0.3">
      <c r="A28" s="783"/>
      <c r="B28" s="784"/>
      <c r="C28" s="784"/>
      <c r="D28" s="784"/>
      <c r="E28" s="784"/>
      <c r="F28" s="784"/>
      <c r="G28" s="784"/>
      <c r="H28" s="784"/>
      <c r="I28" s="784"/>
      <c r="J28" s="785"/>
    </row>
    <row r="29" spans="1:10" ht="16.5" x14ac:dyDescent="0.3">
      <c r="A29" s="783"/>
      <c r="B29" s="784"/>
      <c r="C29" s="784"/>
      <c r="D29" s="784"/>
      <c r="E29" s="784"/>
      <c r="F29" s="784"/>
      <c r="G29" s="784"/>
      <c r="H29" s="784"/>
      <c r="I29" s="784"/>
      <c r="J29" s="785"/>
    </row>
    <row r="30" spans="1:10" ht="16.5" x14ac:dyDescent="0.3">
      <c r="A30" s="783"/>
      <c r="B30" s="784"/>
      <c r="C30" s="784"/>
      <c r="D30" s="784"/>
      <c r="E30" s="784"/>
      <c r="F30" s="784"/>
      <c r="G30" s="784"/>
      <c r="H30" s="784"/>
      <c r="I30" s="784"/>
      <c r="J30" s="785"/>
    </row>
    <row r="31" spans="1:10" ht="16.5" x14ac:dyDescent="0.3">
      <c r="A31" s="783"/>
      <c r="B31" s="784"/>
      <c r="C31" s="784"/>
      <c r="D31" s="784"/>
      <c r="E31" s="784"/>
      <c r="F31" s="784"/>
      <c r="G31" s="784"/>
      <c r="H31" s="784"/>
      <c r="I31" s="784"/>
      <c r="J31" s="785"/>
    </row>
    <row r="32" spans="1:10" ht="16.5" x14ac:dyDescent="0.3">
      <c r="A32" s="783"/>
      <c r="B32" s="784"/>
      <c r="C32" s="784"/>
      <c r="D32" s="784"/>
      <c r="E32" s="784"/>
      <c r="F32" s="784"/>
      <c r="G32" s="784"/>
      <c r="H32" s="784"/>
      <c r="I32" s="784"/>
      <c r="J32" s="785"/>
    </row>
    <row r="33" spans="1:10" ht="16.5" x14ac:dyDescent="0.3">
      <c r="A33" s="783"/>
      <c r="B33" s="784"/>
      <c r="C33" s="784"/>
      <c r="D33" s="784"/>
      <c r="E33" s="784"/>
      <c r="F33" s="784"/>
      <c r="G33" s="784"/>
      <c r="H33" s="784"/>
      <c r="I33" s="784"/>
      <c r="J33" s="785"/>
    </row>
    <row r="34" spans="1:10" ht="16.5" x14ac:dyDescent="0.3">
      <c r="A34" s="783"/>
      <c r="B34" s="784"/>
      <c r="C34" s="784"/>
      <c r="D34" s="784"/>
      <c r="E34" s="784"/>
      <c r="F34" s="784"/>
      <c r="G34" s="784"/>
      <c r="H34" s="784"/>
      <c r="I34" s="784"/>
      <c r="J34" s="785"/>
    </row>
    <row r="35" spans="1:10" ht="16.5" x14ac:dyDescent="0.3">
      <c r="A35" s="783"/>
      <c r="B35" s="784"/>
      <c r="C35" s="784"/>
      <c r="D35" s="784"/>
      <c r="E35" s="784"/>
      <c r="F35" s="784"/>
      <c r="G35" s="784"/>
      <c r="H35" s="784"/>
      <c r="I35" s="784"/>
      <c r="J35" s="785"/>
    </row>
    <row r="36" spans="1:10" ht="16.5" x14ac:dyDescent="0.3">
      <c r="A36" s="783"/>
      <c r="B36" s="784"/>
      <c r="C36" s="784"/>
      <c r="D36" s="784"/>
      <c r="E36" s="784"/>
      <c r="F36" s="784"/>
      <c r="G36" s="784"/>
      <c r="H36" s="784"/>
      <c r="I36" s="784"/>
      <c r="J36" s="785"/>
    </row>
    <row r="37" spans="1:10" ht="16.5" x14ac:dyDescent="0.3">
      <c r="A37" s="783"/>
      <c r="B37" s="784"/>
      <c r="C37" s="784"/>
      <c r="D37" s="784"/>
      <c r="E37" s="784"/>
      <c r="F37" s="784"/>
      <c r="G37" s="784"/>
      <c r="H37" s="784"/>
      <c r="I37" s="784"/>
      <c r="J37" s="785"/>
    </row>
    <row r="38" spans="1:10" ht="16.5" x14ac:dyDescent="0.3">
      <c r="A38" s="783"/>
      <c r="B38" s="784"/>
      <c r="C38" s="784"/>
      <c r="D38" s="784"/>
      <c r="E38" s="784"/>
      <c r="F38" s="784"/>
      <c r="G38" s="784"/>
      <c r="H38" s="784"/>
      <c r="I38" s="784"/>
      <c r="J38" s="785"/>
    </row>
    <row r="39" spans="1:10" ht="16.5" x14ac:dyDescent="0.3">
      <c r="A39" s="783"/>
      <c r="B39" s="784"/>
      <c r="C39" s="784"/>
      <c r="D39" s="784"/>
      <c r="E39" s="784"/>
      <c r="F39" s="784"/>
      <c r="G39" s="784"/>
      <c r="H39" s="784"/>
      <c r="I39" s="784"/>
      <c r="J39" s="785"/>
    </row>
    <row r="40" spans="1:10" ht="16.5" x14ac:dyDescent="0.3">
      <c r="A40" s="783"/>
      <c r="B40" s="784"/>
      <c r="C40" s="784"/>
      <c r="D40" s="784"/>
      <c r="E40" s="784"/>
      <c r="F40" s="784"/>
      <c r="G40" s="784"/>
      <c r="H40" s="784"/>
      <c r="I40" s="784"/>
      <c r="J40" s="785"/>
    </row>
    <row r="41" spans="1:10" ht="16.5" x14ac:dyDescent="0.3">
      <c r="A41" s="783"/>
      <c r="B41" s="784"/>
      <c r="C41" s="784"/>
      <c r="D41" s="784"/>
      <c r="E41" s="784"/>
      <c r="F41" s="784"/>
      <c r="G41" s="784"/>
      <c r="H41" s="784"/>
      <c r="I41" s="784"/>
      <c r="J41" s="785"/>
    </row>
    <row r="42" spans="1:10" ht="16.5" x14ac:dyDescent="0.3">
      <c r="A42" s="783"/>
      <c r="B42" s="784"/>
      <c r="C42" s="784"/>
      <c r="D42" s="784"/>
      <c r="E42" s="784"/>
      <c r="F42" s="784"/>
      <c r="G42" s="784"/>
      <c r="H42" s="784"/>
      <c r="I42" s="784"/>
      <c r="J42" s="785"/>
    </row>
  </sheetData>
  <mergeCells count="48">
    <mergeCell ref="W5:X5"/>
    <mergeCell ref="M5:N5"/>
    <mergeCell ref="O5:P5"/>
    <mergeCell ref="Q5:R5"/>
    <mergeCell ref="S5:T5"/>
    <mergeCell ref="U5:V5"/>
    <mergeCell ref="A16:J16"/>
    <mergeCell ref="A25:J25"/>
    <mergeCell ref="A26:J26"/>
    <mergeCell ref="A27:J27"/>
    <mergeCell ref="A28:J28"/>
    <mergeCell ref="A23:J23"/>
    <mergeCell ref="A24:J24"/>
    <mergeCell ref="A1:J1"/>
    <mergeCell ref="A2:J2"/>
    <mergeCell ref="A3:J3"/>
    <mergeCell ref="A4:J4"/>
    <mergeCell ref="A5:J5"/>
    <mergeCell ref="A6:J6"/>
    <mergeCell ref="A19:J19"/>
    <mergeCell ref="A20:J20"/>
    <mergeCell ref="A21:J21"/>
    <mergeCell ref="A22:J22"/>
    <mergeCell ref="A8:J8"/>
    <mergeCell ref="A9:J9"/>
    <mergeCell ref="A7:J7"/>
    <mergeCell ref="A10:J10"/>
    <mergeCell ref="A11:J11"/>
    <mergeCell ref="A12:J12"/>
    <mergeCell ref="A17:J17"/>
    <mergeCell ref="A18:J18"/>
    <mergeCell ref="A13:J13"/>
    <mergeCell ref="A14:J14"/>
    <mergeCell ref="A15:J15"/>
    <mergeCell ref="A42:J42"/>
    <mergeCell ref="A29:J29"/>
    <mergeCell ref="A30:J30"/>
    <mergeCell ref="A31:J31"/>
    <mergeCell ref="A32:J32"/>
    <mergeCell ref="A33:J33"/>
    <mergeCell ref="A34:J34"/>
    <mergeCell ref="A37:J37"/>
    <mergeCell ref="A38:J38"/>
    <mergeCell ref="A39:J39"/>
    <mergeCell ref="A40:J40"/>
    <mergeCell ref="A41:J41"/>
    <mergeCell ref="A35:J35"/>
    <mergeCell ref="A36:J36"/>
  </mergeCells>
  <pageMargins left="0.7" right="0.7" top="0.75" bottom="0.75" header="0.3" footer="0.3"/>
  <pageSetup orientation="portrait" horizontalDpi="0" verticalDpi="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0" tint="-0.249977111117893"/>
  </sheetPr>
  <dimension ref="A1:O208"/>
  <sheetViews>
    <sheetView showGridLines="0" showRowColHeaders="0" workbookViewId="0">
      <pane ySplit="1" topLeftCell="A8" activePane="bottomLeft" state="frozen"/>
      <selection pane="bottomLeft" activeCell="A23" sqref="A23"/>
    </sheetView>
  </sheetViews>
  <sheetFormatPr defaultRowHeight="12.75" x14ac:dyDescent="0.2"/>
  <cols>
    <col min="1" max="1" width="35.140625" style="14" customWidth="1"/>
    <col min="2" max="2" width="10.42578125" style="14" customWidth="1"/>
    <col min="3" max="3" width="15" style="14" customWidth="1"/>
    <col min="4" max="4" width="12.140625" style="14" customWidth="1"/>
    <col min="5" max="5" width="11.5703125" style="14" customWidth="1"/>
    <col min="6" max="7" width="9.140625" style="14"/>
    <col min="8" max="8" width="23" style="14" customWidth="1"/>
    <col min="9" max="9" width="19.7109375" style="14" customWidth="1"/>
    <col min="10" max="11" width="10.42578125" style="14" customWidth="1"/>
    <col min="12" max="13" width="9.140625" style="14"/>
    <col min="14" max="14" width="10.85546875" style="14" customWidth="1"/>
    <col min="15" max="16384" width="9.140625" style="14"/>
  </cols>
  <sheetData>
    <row r="1" spans="1:15" ht="58.5" customHeight="1" x14ac:dyDescent="0.2">
      <c r="A1" s="423" t="s">
        <v>54</v>
      </c>
      <c r="B1" s="423" t="s">
        <v>53</v>
      </c>
      <c r="C1" s="423" t="s">
        <v>56</v>
      </c>
      <c r="D1" s="421" t="s">
        <v>57</v>
      </c>
      <c r="E1" s="423" t="s">
        <v>58</v>
      </c>
      <c r="F1" s="421" t="s">
        <v>377</v>
      </c>
      <c r="G1" s="421" t="s">
        <v>346</v>
      </c>
      <c r="H1" s="13" t="s">
        <v>1296</v>
      </c>
      <c r="I1" s="423" t="s">
        <v>1297</v>
      </c>
      <c r="J1" s="13"/>
      <c r="K1" s="13"/>
      <c r="L1" s="13"/>
      <c r="M1" s="13"/>
      <c r="N1" s="13"/>
      <c r="O1" s="13"/>
    </row>
    <row r="2" spans="1:15" x14ac:dyDescent="0.2">
      <c r="A2" s="55" t="s">
        <v>64</v>
      </c>
      <c r="B2" s="38">
        <v>0</v>
      </c>
      <c r="C2" s="56" t="s">
        <v>65</v>
      </c>
      <c r="D2" s="38">
        <v>0</v>
      </c>
      <c r="E2" s="56" t="s">
        <v>65</v>
      </c>
      <c r="F2" s="14">
        <v>0</v>
      </c>
      <c r="G2" s="87">
        <v>0</v>
      </c>
      <c r="H2" s="127">
        <v>0</v>
      </c>
      <c r="I2" s="127" t="s">
        <v>1306</v>
      </c>
      <c r="J2" s="15"/>
      <c r="M2" s="15"/>
      <c r="N2" s="15"/>
      <c r="O2" s="15"/>
    </row>
    <row r="3" spans="1:15" x14ac:dyDescent="0.2">
      <c r="A3" s="383" t="s">
        <v>695</v>
      </c>
      <c r="B3" s="384">
        <v>37</v>
      </c>
      <c r="C3" s="385" t="s">
        <v>67</v>
      </c>
      <c r="D3" s="383">
        <v>0.83</v>
      </c>
      <c r="E3" s="385" t="s">
        <v>67</v>
      </c>
      <c r="F3" s="383">
        <v>1.8</v>
      </c>
      <c r="G3" s="383">
        <v>140</v>
      </c>
      <c r="H3" s="385" t="s">
        <v>390</v>
      </c>
      <c r="I3" s="385" t="s">
        <v>1306</v>
      </c>
      <c r="J3" s="15"/>
      <c r="M3" s="15"/>
      <c r="N3" s="15"/>
      <c r="O3" s="15"/>
    </row>
    <row r="4" spans="1:15" x14ac:dyDescent="0.2">
      <c r="A4" s="383" t="s">
        <v>696</v>
      </c>
      <c r="B4" s="384">
        <v>36</v>
      </c>
      <c r="C4" s="385" t="s">
        <v>67</v>
      </c>
      <c r="D4" s="383">
        <v>0.83</v>
      </c>
      <c r="E4" s="385" t="s">
        <v>67</v>
      </c>
      <c r="F4" s="383">
        <v>1.8</v>
      </c>
      <c r="G4" s="383">
        <v>180</v>
      </c>
      <c r="H4" s="385" t="s">
        <v>390</v>
      </c>
      <c r="I4" s="385" t="s">
        <v>1306</v>
      </c>
      <c r="J4" s="15"/>
      <c r="M4" s="15"/>
      <c r="N4" s="15"/>
      <c r="O4" s="15"/>
    </row>
    <row r="5" spans="1:15" x14ac:dyDescent="0.2">
      <c r="A5" s="383" t="s">
        <v>156</v>
      </c>
      <c r="B5" s="383">
        <v>27</v>
      </c>
      <c r="C5" s="385" t="s">
        <v>67</v>
      </c>
      <c r="D5" s="383">
        <v>0.83</v>
      </c>
      <c r="E5" s="385" t="s">
        <v>67</v>
      </c>
      <c r="F5" s="383">
        <v>3</v>
      </c>
      <c r="G5" s="383">
        <v>0</v>
      </c>
      <c r="H5" s="385" t="s">
        <v>390</v>
      </c>
      <c r="I5" s="385" t="s">
        <v>1306</v>
      </c>
      <c r="J5" s="15"/>
      <c r="M5" s="15"/>
      <c r="N5" s="15"/>
      <c r="O5" s="15"/>
    </row>
    <row r="6" spans="1:15" x14ac:dyDescent="0.2">
      <c r="A6" s="383" t="s">
        <v>157</v>
      </c>
      <c r="B6" s="383">
        <v>35</v>
      </c>
      <c r="C6" s="385" t="s">
        <v>67</v>
      </c>
      <c r="D6" s="383">
        <v>0.76</v>
      </c>
      <c r="E6" s="385" t="s">
        <v>67</v>
      </c>
      <c r="F6" s="383">
        <v>13</v>
      </c>
      <c r="G6" s="383">
        <v>0</v>
      </c>
      <c r="H6" s="385" t="s">
        <v>390</v>
      </c>
      <c r="I6" s="385" t="s">
        <v>1306</v>
      </c>
      <c r="J6" s="15"/>
      <c r="M6" s="15"/>
      <c r="N6" s="15"/>
      <c r="O6" s="15"/>
    </row>
    <row r="7" spans="1:15" x14ac:dyDescent="0.2">
      <c r="A7" s="383" t="s">
        <v>66</v>
      </c>
      <c r="B7" s="383">
        <v>36</v>
      </c>
      <c r="C7" s="386" t="s">
        <v>67</v>
      </c>
      <c r="D7" s="383">
        <v>0.83</v>
      </c>
      <c r="E7" s="386" t="s">
        <v>67</v>
      </c>
      <c r="F7" s="383">
        <v>2</v>
      </c>
      <c r="G7" s="383">
        <v>131</v>
      </c>
      <c r="H7" s="385" t="s">
        <v>390</v>
      </c>
      <c r="I7" s="385" t="s">
        <v>1306</v>
      </c>
      <c r="J7" s="15"/>
      <c r="M7" s="15"/>
      <c r="N7" s="15"/>
      <c r="O7" s="15"/>
    </row>
    <row r="8" spans="1:15" x14ac:dyDescent="0.2">
      <c r="A8" s="383" t="s">
        <v>1097</v>
      </c>
      <c r="B8" s="383">
        <v>40</v>
      </c>
      <c r="C8" s="385" t="s">
        <v>65</v>
      </c>
      <c r="D8" s="383">
        <v>1.22</v>
      </c>
      <c r="E8" s="385" t="s">
        <v>65</v>
      </c>
      <c r="F8" s="383">
        <v>18</v>
      </c>
      <c r="G8" s="383">
        <v>0</v>
      </c>
      <c r="H8" s="385">
        <v>0</v>
      </c>
      <c r="I8" s="385">
        <v>7.4959999999999999E-2</v>
      </c>
      <c r="J8" s="15"/>
      <c r="M8" s="15"/>
      <c r="N8" s="15"/>
      <c r="O8" s="15"/>
    </row>
    <row r="9" spans="1:15" x14ac:dyDescent="0.2">
      <c r="A9" s="383" t="s">
        <v>1338</v>
      </c>
      <c r="B9" s="384">
        <v>35</v>
      </c>
      <c r="C9" s="385" t="s">
        <v>67</v>
      </c>
      <c r="D9" s="384">
        <v>0.55000000000000004</v>
      </c>
      <c r="E9" s="385" t="s">
        <v>67</v>
      </c>
      <c r="F9" s="383">
        <v>15</v>
      </c>
      <c r="G9" s="383">
        <v>0</v>
      </c>
      <c r="H9" s="385" t="s">
        <v>391</v>
      </c>
      <c r="I9" s="385" t="s">
        <v>1306</v>
      </c>
      <c r="J9" s="15"/>
      <c r="M9" s="15"/>
      <c r="N9" s="15"/>
      <c r="O9" s="15"/>
    </row>
    <row r="10" spans="1:15" x14ac:dyDescent="0.2">
      <c r="A10" s="387" t="s">
        <v>68</v>
      </c>
      <c r="B10" s="387">
        <v>37</v>
      </c>
      <c r="C10" s="386" t="s">
        <v>67</v>
      </c>
      <c r="D10" s="383">
        <v>0.72</v>
      </c>
      <c r="E10" s="386" t="s">
        <v>67</v>
      </c>
      <c r="F10" s="383">
        <v>19</v>
      </c>
      <c r="G10" s="383">
        <v>29</v>
      </c>
      <c r="H10" s="385" t="s">
        <v>390</v>
      </c>
      <c r="I10" s="385" t="s">
        <v>1306</v>
      </c>
      <c r="J10" s="15"/>
      <c r="M10" s="15"/>
      <c r="N10" s="15"/>
      <c r="O10" s="15"/>
    </row>
    <row r="11" spans="1:15" x14ac:dyDescent="0.2">
      <c r="A11" s="387" t="s">
        <v>69</v>
      </c>
      <c r="B11" s="387">
        <v>37</v>
      </c>
      <c r="C11" s="386" t="s">
        <v>67</v>
      </c>
      <c r="D11" s="383">
        <v>0.83</v>
      </c>
      <c r="E11" s="386" t="s">
        <v>67</v>
      </c>
      <c r="F11" s="383">
        <v>2</v>
      </c>
      <c r="G11" s="383">
        <v>105</v>
      </c>
      <c r="H11" s="385" t="s">
        <v>390</v>
      </c>
      <c r="I11" s="385" t="s">
        <v>1306</v>
      </c>
      <c r="J11" s="15"/>
      <c r="M11" s="15"/>
      <c r="N11" s="15"/>
      <c r="O11" s="15"/>
    </row>
    <row r="12" spans="1:15" x14ac:dyDescent="0.2">
      <c r="A12" s="383" t="s">
        <v>184</v>
      </c>
      <c r="B12" s="384">
        <v>37</v>
      </c>
      <c r="C12" s="385" t="s">
        <v>67</v>
      </c>
      <c r="D12" s="384">
        <v>0.83</v>
      </c>
      <c r="E12" s="385" t="s">
        <v>67</v>
      </c>
      <c r="F12" s="383">
        <v>2</v>
      </c>
      <c r="G12" s="383">
        <v>105</v>
      </c>
      <c r="H12" s="385" t="s">
        <v>390</v>
      </c>
      <c r="I12" s="385" t="s">
        <v>1306</v>
      </c>
      <c r="J12" s="15"/>
      <c r="M12" s="15"/>
      <c r="N12" s="15"/>
      <c r="O12" s="15"/>
    </row>
    <row r="13" spans="1:15" x14ac:dyDescent="0.2">
      <c r="A13" s="387" t="s">
        <v>70</v>
      </c>
      <c r="B13" s="387">
        <v>36</v>
      </c>
      <c r="C13" s="386" t="s">
        <v>67</v>
      </c>
      <c r="D13" s="383">
        <v>0.83</v>
      </c>
      <c r="E13" s="386" t="s">
        <v>67</v>
      </c>
      <c r="F13" s="383">
        <v>2</v>
      </c>
      <c r="G13" s="383">
        <v>105</v>
      </c>
      <c r="H13" s="385" t="s">
        <v>390</v>
      </c>
      <c r="I13" s="385" t="s">
        <v>1306</v>
      </c>
      <c r="J13" s="15"/>
      <c r="M13" s="15"/>
      <c r="N13" s="15"/>
      <c r="O13" s="15"/>
    </row>
    <row r="14" spans="1:15" x14ac:dyDescent="0.2">
      <c r="A14" s="383" t="s">
        <v>1378</v>
      </c>
      <c r="B14" s="383">
        <v>35</v>
      </c>
      <c r="C14" s="385" t="s">
        <v>67</v>
      </c>
      <c r="D14" s="383">
        <v>0.75</v>
      </c>
      <c r="E14" s="385" t="s">
        <v>67</v>
      </c>
      <c r="F14" s="383">
        <v>12</v>
      </c>
      <c r="G14" s="383">
        <v>135</v>
      </c>
      <c r="H14" s="385" t="s">
        <v>390</v>
      </c>
      <c r="I14" s="385" t="s">
        <v>1306</v>
      </c>
      <c r="J14" s="15"/>
      <c r="M14" s="15"/>
      <c r="N14" s="15"/>
      <c r="O14" s="15"/>
    </row>
    <row r="15" spans="1:15" x14ac:dyDescent="0.2">
      <c r="A15" s="383" t="s">
        <v>159</v>
      </c>
      <c r="B15" s="383">
        <v>36</v>
      </c>
      <c r="C15" s="385" t="s">
        <v>67</v>
      </c>
      <c r="D15" s="383">
        <v>0.72</v>
      </c>
      <c r="E15" s="385" t="s">
        <v>67</v>
      </c>
      <c r="F15" s="383">
        <v>23</v>
      </c>
      <c r="G15" s="383">
        <v>6</v>
      </c>
      <c r="H15" s="385" t="s">
        <v>390</v>
      </c>
      <c r="I15" s="385" t="s">
        <v>1306</v>
      </c>
      <c r="J15" s="15"/>
      <c r="M15" s="15"/>
      <c r="N15" s="15"/>
      <c r="O15" s="15"/>
    </row>
    <row r="16" spans="1:15" x14ac:dyDescent="0.2">
      <c r="A16" s="383" t="s">
        <v>160</v>
      </c>
      <c r="B16" s="383">
        <v>25</v>
      </c>
      <c r="C16" s="385" t="s">
        <v>67</v>
      </c>
      <c r="D16" s="383">
        <v>0.15</v>
      </c>
      <c r="E16" s="385" t="s">
        <v>67</v>
      </c>
      <c r="F16" s="383">
        <v>500</v>
      </c>
      <c r="G16" s="383">
        <v>0</v>
      </c>
      <c r="H16" s="385" t="s">
        <v>392</v>
      </c>
      <c r="I16" s="385" t="s">
        <v>1306</v>
      </c>
      <c r="N16" s="17"/>
    </row>
    <row r="17" spans="1:14" x14ac:dyDescent="0.2">
      <c r="A17" s="387" t="s">
        <v>71</v>
      </c>
      <c r="B17" s="387">
        <v>33</v>
      </c>
      <c r="C17" s="386" t="s">
        <v>67</v>
      </c>
      <c r="D17" s="383">
        <v>0.55000000000000004</v>
      </c>
      <c r="E17" s="386" t="s">
        <v>67</v>
      </c>
      <c r="F17" s="383">
        <v>80</v>
      </c>
      <c r="G17" s="383">
        <v>0</v>
      </c>
      <c r="H17" s="385" t="s">
        <v>391</v>
      </c>
      <c r="I17" s="385" t="s">
        <v>1306</v>
      </c>
    </row>
    <row r="18" spans="1:14" x14ac:dyDescent="0.2">
      <c r="A18" s="387" t="s">
        <v>72</v>
      </c>
      <c r="B18" s="388">
        <v>34</v>
      </c>
      <c r="C18" s="386" t="s">
        <v>67</v>
      </c>
      <c r="D18" s="383">
        <v>0.55000000000000004</v>
      </c>
      <c r="E18" s="386" t="s">
        <v>67</v>
      </c>
      <c r="F18" s="383">
        <v>40</v>
      </c>
      <c r="G18" s="383">
        <v>0</v>
      </c>
      <c r="H18" s="385" t="s">
        <v>391</v>
      </c>
      <c r="I18" s="385" t="s">
        <v>1306</v>
      </c>
    </row>
    <row r="19" spans="1:14" x14ac:dyDescent="0.2">
      <c r="A19" s="387" t="s">
        <v>942</v>
      </c>
      <c r="B19" s="387">
        <v>32</v>
      </c>
      <c r="C19" s="386" t="s">
        <v>67</v>
      </c>
      <c r="D19" s="383">
        <v>0.15</v>
      </c>
      <c r="E19" s="386" t="s">
        <v>67</v>
      </c>
      <c r="F19" s="383">
        <v>550</v>
      </c>
      <c r="G19" s="383">
        <v>0</v>
      </c>
      <c r="H19" s="385" t="s">
        <v>392</v>
      </c>
      <c r="I19" s="385" t="s">
        <v>1306</v>
      </c>
    </row>
    <row r="20" spans="1:14" x14ac:dyDescent="0.2">
      <c r="A20" s="387" t="s">
        <v>73</v>
      </c>
      <c r="B20" s="387">
        <v>33</v>
      </c>
      <c r="C20" s="386" t="s">
        <v>67</v>
      </c>
      <c r="D20" s="383">
        <v>0.63</v>
      </c>
      <c r="E20" s="386" t="s">
        <v>67</v>
      </c>
      <c r="F20" s="383">
        <v>50</v>
      </c>
      <c r="G20" s="383">
        <v>0</v>
      </c>
      <c r="H20" s="385" t="s">
        <v>392</v>
      </c>
      <c r="I20" s="385" t="s">
        <v>1306</v>
      </c>
    </row>
    <row r="21" spans="1:14" x14ac:dyDescent="0.2">
      <c r="A21" s="387" t="s">
        <v>75</v>
      </c>
      <c r="B21" s="387">
        <v>38</v>
      </c>
      <c r="C21" s="386" t="s">
        <v>67</v>
      </c>
      <c r="D21" s="383">
        <v>0.74</v>
      </c>
      <c r="E21" s="386" t="s">
        <v>67</v>
      </c>
      <c r="F21" s="383">
        <v>3</v>
      </c>
      <c r="G21" s="383">
        <v>160</v>
      </c>
      <c r="H21" s="385" t="s">
        <v>456</v>
      </c>
      <c r="I21" s="385" t="s">
        <v>1306</v>
      </c>
    </row>
    <row r="22" spans="1:14" x14ac:dyDescent="0.2">
      <c r="A22" s="383" t="s">
        <v>1335</v>
      </c>
      <c r="B22" s="384">
        <v>35</v>
      </c>
      <c r="C22" s="385" t="s">
        <v>67</v>
      </c>
      <c r="D22" s="384">
        <v>0.55000000000000004</v>
      </c>
      <c r="E22" s="385" t="s">
        <v>67</v>
      </c>
      <c r="F22" s="383">
        <v>15</v>
      </c>
      <c r="G22" s="383">
        <v>0</v>
      </c>
      <c r="H22" s="385" t="s">
        <v>391</v>
      </c>
      <c r="I22" s="385" t="s">
        <v>1306</v>
      </c>
      <c r="K22" s="17"/>
      <c r="N22" s="17"/>
    </row>
    <row r="23" spans="1:14" x14ac:dyDescent="0.2">
      <c r="A23" s="383" t="s">
        <v>1095</v>
      </c>
      <c r="B23" s="383">
        <v>34</v>
      </c>
      <c r="C23" s="385" t="s">
        <v>67</v>
      </c>
      <c r="D23" s="383">
        <v>0.55000000000000004</v>
      </c>
      <c r="E23" s="385" t="s">
        <v>67</v>
      </c>
      <c r="F23" s="383">
        <v>80</v>
      </c>
      <c r="G23" s="383">
        <v>0</v>
      </c>
      <c r="H23" s="385" t="s">
        <v>391</v>
      </c>
      <c r="I23" s="385" t="s">
        <v>1306</v>
      </c>
    </row>
    <row r="24" spans="1:14" x14ac:dyDescent="0.2">
      <c r="A24" s="383" t="s">
        <v>258</v>
      </c>
      <c r="B24" s="383">
        <v>45</v>
      </c>
      <c r="C24" s="385" t="s">
        <v>65</v>
      </c>
      <c r="D24" s="383">
        <v>1.22</v>
      </c>
      <c r="E24" s="385" t="s">
        <v>65</v>
      </c>
      <c r="F24" s="383">
        <v>8</v>
      </c>
      <c r="G24" s="383">
        <v>0</v>
      </c>
      <c r="H24" s="385">
        <v>0</v>
      </c>
      <c r="I24" s="385">
        <v>7.4959999999999999E-2</v>
      </c>
    </row>
    <row r="25" spans="1:14" x14ac:dyDescent="0.2">
      <c r="A25" s="383" t="s">
        <v>257</v>
      </c>
      <c r="B25" s="383">
        <v>45</v>
      </c>
      <c r="C25" s="385" t="s">
        <v>65</v>
      </c>
      <c r="D25" s="383">
        <v>1.21</v>
      </c>
      <c r="E25" s="385" t="s">
        <v>65</v>
      </c>
      <c r="F25" s="383">
        <v>50</v>
      </c>
      <c r="G25" s="383">
        <v>0</v>
      </c>
      <c r="H25" s="385">
        <v>0</v>
      </c>
      <c r="I25" s="385">
        <v>7.4959999999999999E-2</v>
      </c>
      <c r="K25" s="17"/>
    </row>
    <row r="26" spans="1:14" x14ac:dyDescent="0.2">
      <c r="A26" s="383" t="s">
        <v>161</v>
      </c>
      <c r="B26" s="384">
        <v>33</v>
      </c>
      <c r="C26" s="385" t="s">
        <v>67</v>
      </c>
      <c r="D26" s="384">
        <v>0.72</v>
      </c>
      <c r="E26" s="385" t="s">
        <v>67</v>
      </c>
      <c r="F26" s="383">
        <v>23</v>
      </c>
      <c r="G26" s="383">
        <v>0</v>
      </c>
      <c r="H26" s="385" t="s">
        <v>390</v>
      </c>
      <c r="I26" s="385" t="s">
        <v>1306</v>
      </c>
    </row>
    <row r="27" spans="1:14" x14ac:dyDescent="0.2">
      <c r="A27" s="383" t="s">
        <v>76</v>
      </c>
      <c r="B27" s="383">
        <v>34</v>
      </c>
      <c r="C27" s="386" t="s">
        <v>67</v>
      </c>
      <c r="D27" s="383">
        <v>0.55000000000000004</v>
      </c>
      <c r="E27" s="386" t="s">
        <v>67</v>
      </c>
      <c r="F27" s="383">
        <v>40</v>
      </c>
      <c r="G27" s="383">
        <v>0</v>
      </c>
      <c r="H27" s="385" t="s">
        <v>391</v>
      </c>
      <c r="I27" s="385" t="s">
        <v>1306</v>
      </c>
    </row>
    <row r="28" spans="1:14" x14ac:dyDescent="0.2">
      <c r="A28" s="383" t="s">
        <v>508</v>
      </c>
      <c r="B28" s="384">
        <v>32</v>
      </c>
      <c r="C28" s="385" t="s">
        <v>65</v>
      </c>
      <c r="D28" s="384">
        <v>1.1100000000000001</v>
      </c>
      <c r="E28" s="385" t="s">
        <v>65</v>
      </c>
      <c r="F28" s="383">
        <v>180</v>
      </c>
      <c r="G28" s="383">
        <v>0</v>
      </c>
      <c r="H28" s="385">
        <v>0</v>
      </c>
      <c r="I28" s="385">
        <v>8.4750000000000006E-2</v>
      </c>
      <c r="K28" s="16"/>
    </row>
    <row r="29" spans="1:14" x14ac:dyDescent="0.2">
      <c r="A29" s="383" t="s">
        <v>162</v>
      </c>
      <c r="B29" s="384">
        <v>35</v>
      </c>
      <c r="C29" s="385" t="s">
        <v>67</v>
      </c>
      <c r="D29" s="384">
        <v>0.55000000000000004</v>
      </c>
      <c r="E29" s="385" t="s">
        <v>67</v>
      </c>
      <c r="F29" s="383">
        <v>30</v>
      </c>
      <c r="G29" s="383">
        <v>0</v>
      </c>
      <c r="H29" s="386" t="s">
        <v>391</v>
      </c>
      <c r="I29" s="385" t="s">
        <v>1306</v>
      </c>
    </row>
    <row r="30" spans="1:14" x14ac:dyDescent="0.2">
      <c r="A30" s="387" t="s">
        <v>77</v>
      </c>
      <c r="B30" s="387">
        <v>36</v>
      </c>
      <c r="C30" s="386" t="s">
        <v>67</v>
      </c>
      <c r="D30" s="383">
        <v>0.15</v>
      </c>
      <c r="E30" s="386" t="s">
        <v>67</v>
      </c>
      <c r="F30" s="383">
        <v>415</v>
      </c>
      <c r="G30" s="383">
        <v>0</v>
      </c>
      <c r="H30" s="386" t="s">
        <v>392</v>
      </c>
      <c r="I30" s="385" t="s">
        <v>1306</v>
      </c>
    </row>
    <row r="31" spans="1:14" x14ac:dyDescent="0.2">
      <c r="A31" s="383" t="s">
        <v>976</v>
      </c>
      <c r="B31" s="383">
        <v>30</v>
      </c>
      <c r="C31" s="385" t="s">
        <v>67</v>
      </c>
      <c r="D31" s="383">
        <v>0.15</v>
      </c>
      <c r="E31" s="385" t="s">
        <v>67</v>
      </c>
      <c r="F31" s="383">
        <v>525</v>
      </c>
      <c r="G31" s="383">
        <v>0</v>
      </c>
      <c r="H31" s="385" t="s">
        <v>392</v>
      </c>
      <c r="I31" s="385" t="s">
        <v>1306</v>
      </c>
    </row>
    <row r="32" spans="1:14" x14ac:dyDescent="0.2">
      <c r="A32" s="387" t="s">
        <v>80</v>
      </c>
      <c r="B32" s="387">
        <v>37</v>
      </c>
      <c r="C32" s="386" t="s">
        <v>67</v>
      </c>
      <c r="D32" s="383">
        <v>0.55000000000000004</v>
      </c>
      <c r="E32" s="386" t="s">
        <v>67</v>
      </c>
      <c r="F32" s="383">
        <v>2</v>
      </c>
      <c r="G32" s="383">
        <v>0</v>
      </c>
      <c r="H32" s="386" t="s">
        <v>391</v>
      </c>
      <c r="I32" s="385" t="s">
        <v>1306</v>
      </c>
    </row>
    <row r="33" spans="1:9" x14ac:dyDescent="0.2">
      <c r="A33" s="383" t="s">
        <v>81</v>
      </c>
      <c r="B33" s="383">
        <v>35</v>
      </c>
      <c r="C33" s="386" t="s">
        <v>67</v>
      </c>
      <c r="D33" s="383">
        <v>0.55000000000000004</v>
      </c>
      <c r="E33" s="386" t="s">
        <v>67</v>
      </c>
      <c r="F33" s="383">
        <v>13</v>
      </c>
      <c r="G33" s="383">
        <v>0</v>
      </c>
      <c r="H33" s="385" t="s">
        <v>391</v>
      </c>
      <c r="I33" s="385" t="s">
        <v>1306</v>
      </c>
    </row>
    <row r="34" spans="1:9" x14ac:dyDescent="0.2">
      <c r="A34" s="387" t="s">
        <v>83</v>
      </c>
      <c r="B34" s="388">
        <v>35</v>
      </c>
      <c r="C34" s="386" t="s">
        <v>67</v>
      </c>
      <c r="D34" s="383">
        <v>0.55000000000000004</v>
      </c>
      <c r="E34" s="386" t="s">
        <v>67</v>
      </c>
      <c r="F34" s="383">
        <v>10</v>
      </c>
      <c r="G34" s="383">
        <v>0</v>
      </c>
      <c r="H34" s="386" t="s">
        <v>391</v>
      </c>
      <c r="I34" s="385" t="s">
        <v>1306</v>
      </c>
    </row>
    <row r="35" spans="1:9" x14ac:dyDescent="0.2">
      <c r="A35" s="387" t="s">
        <v>84</v>
      </c>
      <c r="B35" s="388">
        <v>30</v>
      </c>
      <c r="C35" s="386" t="s">
        <v>67</v>
      </c>
      <c r="D35" s="383">
        <v>0.55000000000000004</v>
      </c>
      <c r="E35" s="386" t="s">
        <v>67</v>
      </c>
      <c r="F35" s="383">
        <v>2</v>
      </c>
      <c r="G35" s="383">
        <v>0</v>
      </c>
      <c r="H35" s="385" t="s">
        <v>391</v>
      </c>
      <c r="I35" s="385" t="s">
        <v>1306</v>
      </c>
    </row>
    <row r="36" spans="1:9" x14ac:dyDescent="0.2">
      <c r="A36" s="383" t="s">
        <v>163</v>
      </c>
      <c r="B36" s="384">
        <v>35</v>
      </c>
      <c r="C36" s="385" t="s">
        <v>67</v>
      </c>
      <c r="D36" s="384">
        <v>0.55000000000000004</v>
      </c>
      <c r="E36" s="385" t="s">
        <v>67</v>
      </c>
      <c r="F36" s="383">
        <v>10</v>
      </c>
      <c r="G36" s="383">
        <v>0</v>
      </c>
      <c r="H36" s="385" t="s">
        <v>391</v>
      </c>
      <c r="I36" s="385" t="s">
        <v>1306</v>
      </c>
    </row>
    <row r="37" spans="1:9" x14ac:dyDescent="0.2">
      <c r="A37" s="383" t="s">
        <v>168</v>
      </c>
      <c r="B37" s="384">
        <v>33</v>
      </c>
      <c r="C37" s="385" t="s">
        <v>67</v>
      </c>
      <c r="D37" s="384">
        <v>0.62</v>
      </c>
      <c r="E37" s="385" t="s">
        <v>67</v>
      </c>
      <c r="F37" s="383">
        <v>120</v>
      </c>
      <c r="G37" s="383">
        <v>0</v>
      </c>
      <c r="H37" s="386" t="s">
        <v>391</v>
      </c>
      <c r="I37" s="385" t="s">
        <v>1306</v>
      </c>
    </row>
    <row r="38" spans="1:9" x14ac:dyDescent="0.2">
      <c r="A38" s="383" t="s">
        <v>164</v>
      </c>
      <c r="B38" s="384">
        <v>35</v>
      </c>
      <c r="C38" s="385" t="s">
        <v>67</v>
      </c>
      <c r="D38" s="384">
        <v>0.55000000000000004</v>
      </c>
      <c r="E38" s="385" t="s">
        <v>67</v>
      </c>
      <c r="F38" s="383">
        <v>20</v>
      </c>
      <c r="G38" s="389">
        <v>0</v>
      </c>
      <c r="H38" s="386" t="s">
        <v>391</v>
      </c>
      <c r="I38" s="385" t="s">
        <v>1306</v>
      </c>
    </row>
    <row r="39" spans="1:9" x14ac:dyDescent="0.2">
      <c r="A39" s="383" t="s">
        <v>165</v>
      </c>
      <c r="B39" s="384">
        <v>35</v>
      </c>
      <c r="C39" s="385" t="s">
        <v>67</v>
      </c>
      <c r="D39" s="384">
        <v>0.55000000000000004</v>
      </c>
      <c r="E39" s="385" t="s">
        <v>67</v>
      </c>
      <c r="F39" s="383">
        <v>30</v>
      </c>
      <c r="G39" s="389">
        <v>0</v>
      </c>
      <c r="H39" s="385" t="s">
        <v>391</v>
      </c>
      <c r="I39" s="385" t="s">
        <v>1306</v>
      </c>
    </row>
    <row r="40" spans="1:9" x14ac:dyDescent="0.2">
      <c r="A40" s="383" t="s">
        <v>259</v>
      </c>
      <c r="B40" s="384">
        <v>34</v>
      </c>
      <c r="C40" s="385" t="s">
        <v>67</v>
      </c>
      <c r="D40" s="384">
        <v>0.55000000000000004</v>
      </c>
      <c r="E40" s="385" t="s">
        <v>67</v>
      </c>
      <c r="F40" s="383">
        <v>40</v>
      </c>
      <c r="G40" s="389">
        <v>0</v>
      </c>
      <c r="H40" s="386" t="s">
        <v>391</v>
      </c>
      <c r="I40" s="385" t="s">
        <v>1306</v>
      </c>
    </row>
    <row r="41" spans="1:9" x14ac:dyDescent="0.2">
      <c r="A41" s="383" t="s">
        <v>974</v>
      </c>
      <c r="B41" s="383">
        <v>34</v>
      </c>
      <c r="C41" s="385" t="s">
        <v>67</v>
      </c>
      <c r="D41" s="383">
        <v>0.55000000000000004</v>
      </c>
      <c r="E41" s="385" t="s">
        <v>67</v>
      </c>
      <c r="F41" s="383">
        <v>45</v>
      </c>
      <c r="G41" s="383">
        <v>0</v>
      </c>
      <c r="H41" s="385" t="s">
        <v>391</v>
      </c>
      <c r="I41" s="385" t="s">
        <v>1306</v>
      </c>
    </row>
    <row r="42" spans="1:9" x14ac:dyDescent="0.2">
      <c r="A42" s="383" t="s">
        <v>166</v>
      </c>
      <c r="B42" s="384">
        <v>34</v>
      </c>
      <c r="C42" s="385" t="s">
        <v>67</v>
      </c>
      <c r="D42" s="384">
        <v>0.55000000000000004</v>
      </c>
      <c r="E42" s="385" t="s">
        <v>67</v>
      </c>
      <c r="F42" s="383">
        <v>60</v>
      </c>
      <c r="G42" s="383">
        <v>0</v>
      </c>
      <c r="H42" s="385" t="s">
        <v>391</v>
      </c>
      <c r="I42" s="385" t="s">
        <v>1306</v>
      </c>
    </row>
    <row r="43" spans="1:9" x14ac:dyDescent="0.2">
      <c r="A43" s="383" t="s">
        <v>167</v>
      </c>
      <c r="B43" s="384">
        <v>34</v>
      </c>
      <c r="C43" s="385" t="s">
        <v>67</v>
      </c>
      <c r="D43" s="384">
        <v>0.55000000000000004</v>
      </c>
      <c r="E43" s="385" t="s">
        <v>67</v>
      </c>
      <c r="F43" s="383">
        <v>80</v>
      </c>
      <c r="G43" s="383">
        <v>0</v>
      </c>
      <c r="H43" s="385" t="s">
        <v>391</v>
      </c>
      <c r="I43" s="385" t="s">
        <v>1306</v>
      </c>
    </row>
    <row r="44" spans="1:9" x14ac:dyDescent="0.2">
      <c r="A44" s="387" t="s">
        <v>85</v>
      </c>
      <c r="B44" s="387">
        <v>37</v>
      </c>
      <c r="C44" s="386" t="s">
        <v>67</v>
      </c>
      <c r="D44" s="383">
        <v>0.55000000000000004</v>
      </c>
      <c r="E44" s="386" t="s">
        <v>67</v>
      </c>
      <c r="F44" s="383">
        <v>56</v>
      </c>
      <c r="G44" s="383">
        <v>0</v>
      </c>
      <c r="H44" s="385" t="s">
        <v>391</v>
      </c>
      <c r="I44" s="385" t="s">
        <v>1306</v>
      </c>
    </row>
    <row r="45" spans="1:9" x14ac:dyDescent="0.2">
      <c r="A45" s="383" t="s">
        <v>87</v>
      </c>
      <c r="B45" s="383">
        <v>30</v>
      </c>
      <c r="C45" s="386" t="s">
        <v>67</v>
      </c>
      <c r="D45" s="383">
        <v>0.55000000000000004</v>
      </c>
      <c r="E45" s="386" t="s">
        <v>67</v>
      </c>
      <c r="F45" s="383">
        <v>2</v>
      </c>
      <c r="G45" s="383">
        <v>0</v>
      </c>
      <c r="H45" s="385" t="s">
        <v>391</v>
      </c>
      <c r="I45" s="385" t="s">
        <v>1306</v>
      </c>
    </row>
    <row r="46" spans="1:9" x14ac:dyDescent="0.2">
      <c r="A46" s="383" t="s">
        <v>169</v>
      </c>
      <c r="B46" s="384">
        <v>35</v>
      </c>
      <c r="C46" s="385" t="s">
        <v>67</v>
      </c>
      <c r="D46" s="384">
        <v>0.55000000000000004</v>
      </c>
      <c r="E46" s="385" t="s">
        <v>67</v>
      </c>
      <c r="F46" s="383">
        <v>20</v>
      </c>
      <c r="G46" s="383">
        <v>0</v>
      </c>
      <c r="H46" s="385" t="s">
        <v>391</v>
      </c>
      <c r="I46" s="385" t="s">
        <v>1306</v>
      </c>
    </row>
    <row r="47" spans="1:9" x14ac:dyDescent="0.2">
      <c r="A47" s="383" t="s">
        <v>1096</v>
      </c>
      <c r="B47" s="383">
        <v>34</v>
      </c>
      <c r="C47" s="385" t="s">
        <v>67</v>
      </c>
      <c r="D47" s="383">
        <v>0.55000000000000004</v>
      </c>
      <c r="E47" s="385" t="s">
        <v>67</v>
      </c>
      <c r="F47" s="383">
        <v>35</v>
      </c>
      <c r="G47" s="383">
        <v>0</v>
      </c>
      <c r="H47" s="385" t="s">
        <v>391</v>
      </c>
      <c r="I47" s="385" t="s">
        <v>1306</v>
      </c>
    </row>
    <row r="48" spans="1:9" x14ac:dyDescent="0.2">
      <c r="A48" s="383" t="s">
        <v>170</v>
      </c>
      <c r="B48" s="384">
        <v>34</v>
      </c>
      <c r="C48" s="385" t="s">
        <v>67</v>
      </c>
      <c r="D48" s="384">
        <v>0.55000000000000004</v>
      </c>
      <c r="E48" s="385" t="s">
        <v>67</v>
      </c>
      <c r="F48" s="383">
        <v>22</v>
      </c>
      <c r="G48" s="383">
        <v>0</v>
      </c>
      <c r="H48" s="385" t="s">
        <v>391</v>
      </c>
      <c r="I48" s="385" t="s">
        <v>1306</v>
      </c>
    </row>
    <row r="49" spans="1:9" x14ac:dyDescent="0.2">
      <c r="A49" s="383" t="s">
        <v>1094</v>
      </c>
      <c r="B49" s="383">
        <v>28</v>
      </c>
      <c r="C49" s="385" t="s">
        <v>67</v>
      </c>
      <c r="D49" s="383">
        <v>0.16</v>
      </c>
      <c r="E49" s="385" t="s">
        <v>67</v>
      </c>
      <c r="F49" s="383">
        <v>340</v>
      </c>
      <c r="G49" s="383">
        <v>0</v>
      </c>
      <c r="H49" s="385" t="s">
        <v>392</v>
      </c>
      <c r="I49" s="385" t="s">
        <v>1306</v>
      </c>
    </row>
    <row r="50" spans="1:9" x14ac:dyDescent="0.2">
      <c r="A50" s="383" t="s">
        <v>171</v>
      </c>
      <c r="B50" s="384">
        <v>28</v>
      </c>
      <c r="C50" s="385" t="s">
        <v>67</v>
      </c>
      <c r="D50" s="384">
        <v>0.16</v>
      </c>
      <c r="E50" s="385" t="s">
        <v>67</v>
      </c>
      <c r="F50" s="383">
        <v>350</v>
      </c>
      <c r="G50" s="383">
        <v>0</v>
      </c>
      <c r="H50" s="385" t="s">
        <v>392</v>
      </c>
      <c r="I50" s="385" t="s">
        <v>1306</v>
      </c>
    </row>
    <row r="51" spans="1:9" x14ac:dyDescent="0.2">
      <c r="A51" s="383" t="s">
        <v>172</v>
      </c>
      <c r="B51" s="384">
        <v>44</v>
      </c>
      <c r="C51" s="385" t="s">
        <v>65</v>
      </c>
      <c r="D51" s="384">
        <v>1.22</v>
      </c>
      <c r="E51" s="385" t="s">
        <v>65</v>
      </c>
      <c r="F51" s="383">
        <v>0</v>
      </c>
      <c r="G51" s="383">
        <v>0</v>
      </c>
      <c r="H51" s="385">
        <v>0</v>
      </c>
      <c r="I51" s="385">
        <v>7.4959999999999999E-2</v>
      </c>
    </row>
    <row r="52" spans="1:9" x14ac:dyDescent="0.2">
      <c r="A52" s="383" t="s">
        <v>173</v>
      </c>
      <c r="B52" s="384">
        <v>36</v>
      </c>
      <c r="C52" s="385" t="s">
        <v>65</v>
      </c>
      <c r="D52" s="384">
        <v>1.22</v>
      </c>
      <c r="E52" s="385" t="s">
        <v>65</v>
      </c>
      <c r="F52" s="383">
        <v>1</v>
      </c>
      <c r="G52" s="383">
        <v>0</v>
      </c>
      <c r="H52" s="385">
        <v>0</v>
      </c>
      <c r="I52" s="385">
        <v>8.6580000000000004E-2</v>
      </c>
    </row>
    <row r="53" spans="1:9" x14ac:dyDescent="0.2">
      <c r="A53" s="387" t="s">
        <v>88</v>
      </c>
      <c r="B53" s="387">
        <v>34</v>
      </c>
      <c r="C53" s="386" t="s">
        <v>67</v>
      </c>
      <c r="D53" s="389">
        <v>0.15</v>
      </c>
      <c r="E53" s="386" t="s">
        <v>67</v>
      </c>
      <c r="F53" s="383">
        <v>550</v>
      </c>
      <c r="G53" s="383">
        <v>0</v>
      </c>
      <c r="H53" s="385" t="s">
        <v>392</v>
      </c>
      <c r="I53" s="385" t="s">
        <v>1306</v>
      </c>
    </row>
    <row r="54" spans="1:9" x14ac:dyDescent="0.2">
      <c r="A54" s="387" t="s">
        <v>91</v>
      </c>
      <c r="B54" s="388">
        <v>32</v>
      </c>
      <c r="C54" s="386" t="s">
        <v>67</v>
      </c>
      <c r="D54" s="389">
        <v>0.57999999999999996</v>
      </c>
      <c r="E54" s="386" t="s">
        <v>67</v>
      </c>
      <c r="F54" s="383">
        <v>65</v>
      </c>
      <c r="G54" s="383">
        <v>0</v>
      </c>
      <c r="H54" s="385" t="s">
        <v>390</v>
      </c>
      <c r="I54" s="385" t="s">
        <v>1306</v>
      </c>
    </row>
    <row r="55" spans="1:9" x14ac:dyDescent="0.2">
      <c r="A55" s="388" t="s">
        <v>96</v>
      </c>
      <c r="B55" s="387">
        <v>35</v>
      </c>
      <c r="C55" s="386" t="s">
        <v>67</v>
      </c>
      <c r="D55" s="389">
        <v>0.16</v>
      </c>
      <c r="E55" s="386" t="s">
        <v>67</v>
      </c>
      <c r="F55" s="383">
        <v>412</v>
      </c>
      <c r="G55" s="383">
        <v>0</v>
      </c>
      <c r="H55" s="385" t="s">
        <v>392</v>
      </c>
      <c r="I55" s="385" t="s">
        <v>1306</v>
      </c>
    </row>
    <row r="56" spans="1:9" x14ac:dyDescent="0.2">
      <c r="A56" s="387" t="s">
        <v>97</v>
      </c>
      <c r="B56" s="387">
        <v>35</v>
      </c>
      <c r="C56" s="386" t="s">
        <v>67</v>
      </c>
      <c r="D56" s="389">
        <v>0.62</v>
      </c>
      <c r="E56" s="386" t="s">
        <v>67</v>
      </c>
      <c r="F56" s="383">
        <v>120</v>
      </c>
      <c r="G56" s="383">
        <v>0</v>
      </c>
      <c r="H56" s="385" t="s">
        <v>391</v>
      </c>
      <c r="I56" s="385" t="s">
        <v>1306</v>
      </c>
    </row>
    <row r="57" spans="1:9" x14ac:dyDescent="0.2">
      <c r="A57" s="387" t="s">
        <v>98</v>
      </c>
      <c r="B57" s="387">
        <v>38</v>
      </c>
      <c r="C57" s="386" t="s">
        <v>67</v>
      </c>
      <c r="D57" s="389">
        <v>0.81</v>
      </c>
      <c r="E57" s="386" t="s">
        <v>67</v>
      </c>
      <c r="F57" s="383">
        <v>4</v>
      </c>
      <c r="G57" s="383">
        <v>45</v>
      </c>
      <c r="H57" s="385" t="s">
        <v>390</v>
      </c>
      <c r="I57" s="385" t="s">
        <v>1306</v>
      </c>
    </row>
    <row r="58" spans="1:9" x14ac:dyDescent="0.2">
      <c r="A58" s="383" t="s">
        <v>175</v>
      </c>
      <c r="B58" s="384">
        <v>45</v>
      </c>
      <c r="C58" s="385" t="s">
        <v>65</v>
      </c>
      <c r="D58" s="384">
        <v>1.21</v>
      </c>
      <c r="E58" s="385" t="s">
        <v>65</v>
      </c>
      <c r="F58" s="383">
        <v>2</v>
      </c>
      <c r="G58" s="383">
        <v>0</v>
      </c>
      <c r="H58" s="385">
        <v>0</v>
      </c>
      <c r="I58" s="385">
        <v>7.4959999999999999E-2</v>
      </c>
    </row>
    <row r="59" spans="1:9" x14ac:dyDescent="0.2">
      <c r="A59" s="383" t="s">
        <v>819</v>
      </c>
      <c r="B59" s="383">
        <v>44</v>
      </c>
      <c r="C59" s="385" t="s">
        <v>65</v>
      </c>
      <c r="D59" s="383">
        <v>0.77</v>
      </c>
      <c r="E59" s="385" t="s">
        <v>65</v>
      </c>
      <c r="F59" s="383">
        <v>8</v>
      </c>
      <c r="G59" s="383">
        <v>0</v>
      </c>
      <c r="H59" s="385">
        <v>0</v>
      </c>
      <c r="I59" s="385">
        <v>7.4959999999999999E-2</v>
      </c>
    </row>
    <row r="60" spans="1:9" x14ac:dyDescent="0.2">
      <c r="A60" s="383" t="s">
        <v>816</v>
      </c>
      <c r="B60" s="383">
        <v>44</v>
      </c>
      <c r="C60" s="385" t="s">
        <v>65</v>
      </c>
      <c r="D60" s="384">
        <v>0.76</v>
      </c>
      <c r="E60" s="385" t="s">
        <v>65</v>
      </c>
      <c r="F60" s="383">
        <v>3</v>
      </c>
      <c r="G60" s="383">
        <v>0</v>
      </c>
      <c r="H60" s="385">
        <v>0</v>
      </c>
      <c r="I60" s="385">
        <v>7.4959999999999999E-2</v>
      </c>
    </row>
    <row r="61" spans="1:9" x14ac:dyDescent="0.2">
      <c r="A61" s="383" t="s">
        <v>820</v>
      </c>
      <c r="B61" s="383">
        <v>44</v>
      </c>
      <c r="C61" s="385" t="s">
        <v>65</v>
      </c>
      <c r="D61" s="383">
        <v>0.69</v>
      </c>
      <c r="E61" s="385" t="s">
        <v>65</v>
      </c>
      <c r="F61" s="383">
        <v>30</v>
      </c>
      <c r="G61" s="383">
        <v>0</v>
      </c>
      <c r="H61" s="385">
        <v>0</v>
      </c>
      <c r="I61" s="385">
        <v>7.4959999999999999E-2</v>
      </c>
    </row>
    <row r="62" spans="1:9" x14ac:dyDescent="0.2">
      <c r="A62" s="383" t="s">
        <v>822</v>
      </c>
      <c r="B62" s="383">
        <v>44</v>
      </c>
      <c r="C62" s="385" t="s">
        <v>65</v>
      </c>
      <c r="D62" s="383">
        <v>0.64</v>
      </c>
      <c r="E62" s="385" t="s">
        <v>65</v>
      </c>
      <c r="F62" s="383">
        <v>45</v>
      </c>
      <c r="G62" s="383">
        <v>0</v>
      </c>
      <c r="H62" s="385">
        <v>0</v>
      </c>
      <c r="I62" s="385">
        <v>7.4959999999999999E-2</v>
      </c>
    </row>
    <row r="63" spans="1:9" x14ac:dyDescent="0.2">
      <c r="A63" s="383" t="s">
        <v>817</v>
      </c>
      <c r="B63" s="383">
        <v>44</v>
      </c>
      <c r="C63" s="385" t="s">
        <v>65</v>
      </c>
      <c r="D63" s="383">
        <v>0.82</v>
      </c>
      <c r="E63" s="385" t="s">
        <v>65</v>
      </c>
      <c r="F63" s="383">
        <v>3</v>
      </c>
      <c r="G63" s="383">
        <v>0</v>
      </c>
      <c r="H63" s="385">
        <v>0</v>
      </c>
      <c r="I63" s="385">
        <v>7.4959999999999999E-2</v>
      </c>
    </row>
    <row r="64" spans="1:9" x14ac:dyDescent="0.2">
      <c r="A64" s="383" t="s">
        <v>818</v>
      </c>
      <c r="B64" s="383">
        <v>44</v>
      </c>
      <c r="C64" s="385" t="s">
        <v>65</v>
      </c>
      <c r="D64" s="383">
        <v>0.82</v>
      </c>
      <c r="E64" s="385" t="s">
        <v>65</v>
      </c>
      <c r="F64" s="383">
        <v>4</v>
      </c>
      <c r="G64" s="383">
        <v>0</v>
      </c>
      <c r="H64" s="385">
        <v>0</v>
      </c>
      <c r="I64" s="385">
        <v>7.4959999999999999E-2</v>
      </c>
    </row>
    <row r="65" spans="1:9" x14ac:dyDescent="0.2">
      <c r="A65" s="383" t="s">
        <v>812</v>
      </c>
      <c r="B65" s="383">
        <v>43</v>
      </c>
      <c r="C65" s="385" t="s">
        <v>65</v>
      </c>
      <c r="D65" s="389">
        <v>0.82</v>
      </c>
      <c r="E65" s="385" t="s">
        <v>65</v>
      </c>
      <c r="F65" s="383">
        <v>2.5</v>
      </c>
      <c r="G65" s="383">
        <v>0</v>
      </c>
      <c r="H65" s="385">
        <v>0</v>
      </c>
      <c r="I65" s="385">
        <v>7.4959999999999999E-2</v>
      </c>
    </row>
    <row r="66" spans="1:9" x14ac:dyDescent="0.2">
      <c r="A66" s="383" t="s">
        <v>814</v>
      </c>
      <c r="B66" s="383">
        <v>43</v>
      </c>
      <c r="C66" s="385" t="s">
        <v>65</v>
      </c>
      <c r="D66" s="383">
        <v>0.77</v>
      </c>
      <c r="E66" s="385" t="s">
        <v>65</v>
      </c>
      <c r="F66" s="383">
        <v>10</v>
      </c>
      <c r="G66" s="383">
        <v>0</v>
      </c>
      <c r="H66" s="385">
        <v>0</v>
      </c>
      <c r="I66" s="385">
        <v>7.4959999999999999E-2</v>
      </c>
    </row>
    <row r="67" spans="1:9" x14ac:dyDescent="0.2">
      <c r="A67" s="383" t="s">
        <v>815</v>
      </c>
      <c r="B67" s="383">
        <v>43</v>
      </c>
      <c r="C67" s="385" t="s">
        <v>65</v>
      </c>
      <c r="D67" s="383">
        <v>0.69</v>
      </c>
      <c r="E67" s="385" t="s">
        <v>65</v>
      </c>
      <c r="F67" s="383">
        <v>30</v>
      </c>
      <c r="G67" s="383">
        <v>0</v>
      </c>
      <c r="H67" s="385">
        <v>0</v>
      </c>
      <c r="I67" s="385">
        <v>7.4959999999999999E-2</v>
      </c>
    </row>
    <row r="68" spans="1:9" x14ac:dyDescent="0.2">
      <c r="A68" s="383" t="s">
        <v>821</v>
      </c>
      <c r="B68" s="383">
        <v>44</v>
      </c>
      <c r="C68" s="385" t="s">
        <v>65</v>
      </c>
      <c r="D68" s="384">
        <v>0.76</v>
      </c>
      <c r="E68" s="385" t="s">
        <v>65</v>
      </c>
      <c r="F68" s="383">
        <v>4</v>
      </c>
      <c r="G68" s="383">
        <v>0</v>
      </c>
      <c r="H68" s="385">
        <v>0</v>
      </c>
      <c r="I68" s="385">
        <v>7.4959999999999999E-2</v>
      </c>
    </row>
    <row r="69" spans="1:9" x14ac:dyDescent="0.2">
      <c r="A69" s="383" t="s">
        <v>813</v>
      </c>
      <c r="B69" s="383">
        <v>43</v>
      </c>
      <c r="C69" s="385" t="s">
        <v>65</v>
      </c>
      <c r="D69" s="383">
        <v>0.82</v>
      </c>
      <c r="E69" s="385" t="s">
        <v>65</v>
      </c>
      <c r="F69" s="383">
        <v>4</v>
      </c>
      <c r="G69" s="383">
        <v>0</v>
      </c>
      <c r="H69" s="385">
        <v>0</v>
      </c>
      <c r="I69" s="385">
        <v>7.4959999999999999E-2</v>
      </c>
    </row>
    <row r="70" spans="1:9" x14ac:dyDescent="0.2">
      <c r="A70" s="383" t="s">
        <v>1336</v>
      </c>
      <c r="B70" s="384">
        <v>34</v>
      </c>
      <c r="C70" s="385" t="s">
        <v>67</v>
      </c>
      <c r="D70" s="384">
        <v>0.55000000000000004</v>
      </c>
      <c r="E70" s="385" t="s">
        <v>67</v>
      </c>
      <c r="F70" s="383">
        <v>85</v>
      </c>
      <c r="G70" s="383">
        <v>0</v>
      </c>
      <c r="H70" s="385" t="s">
        <v>391</v>
      </c>
      <c r="I70" s="385" t="s">
        <v>1306</v>
      </c>
    </row>
    <row r="71" spans="1:9" x14ac:dyDescent="0.2">
      <c r="A71" s="383" t="s">
        <v>944</v>
      </c>
      <c r="B71" s="383">
        <v>31</v>
      </c>
      <c r="C71" s="385" t="s">
        <v>67</v>
      </c>
      <c r="D71" s="389">
        <v>0.16</v>
      </c>
      <c r="E71" s="385" t="s">
        <v>67</v>
      </c>
      <c r="F71" s="383">
        <v>220</v>
      </c>
      <c r="G71" s="383">
        <v>0</v>
      </c>
      <c r="H71" s="385" t="s">
        <v>392</v>
      </c>
      <c r="I71" s="385" t="s">
        <v>1306</v>
      </c>
    </row>
    <row r="72" spans="1:9" x14ac:dyDescent="0.2">
      <c r="A72" s="383" t="s">
        <v>158</v>
      </c>
      <c r="B72" s="383">
        <v>32</v>
      </c>
      <c r="C72" s="385" t="s">
        <v>67</v>
      </c>
      <c r="D72" s="383">
        <v>0.83</v>
      </c>
      <c r="E72" s="385" t="s">
        <v>67</v>
      </c>
      <c r="F72" s="383">
        <v>2</v>
      </c>
      <c r="G72" s="383">
        <v>0</v>
      </c>
      <c r="H72" s="385" t="s">
        <v>390</v>
      </c>
      <c r="I72" s="385" t="s">
        <v>1306</v>
      </c>
    </row>
    <row r="73" spans="1:9" x14ac:dyDescent="0.2">
      <c r="A73" s="383" t="s">
        <v>174</v>
      </c>
      <c r="B73" s="384">
        <v>37</v>
      </c>
      <c r="C73" s="385" t="s">
        <v>67</v>
      </c>
      <c r="D73" s="384">
        <v>0.83</v>
      </c>
      <c r="E73" s="385" t="s">
        <v>67</v>
      </c>
      <c r="F73" s="383">
        <v>1</v>
      </c>
      <c r="G73" s="383">
        <v>0</v>
      </c>
      <c r="H73" s="385" t="s">
        <v>390</v>
      </c>
      <c r="I73" s="385" t="s">
        <v>1306</v>
      </c>
    </row>
    <row r="74" spans="1:9" x14ac:dyDescent="0.2">
      <c r="A74" s="389" t="s">
        <v>113</v>
      </c>
      <c r="B74" s="383">
        <v>37</v>
      </c>
      <c r="C74" s="386" t="s">
        <v>67</v>
      </c>
      <c r="D74" s="383">
        <v>0.5</v>
      </c>
      <c r="E74" s="386" t="s">
        <v>67</v>
      </c>
      <c r="F74" s="383">
        <v>1</v>
      </c>
      <c r="G74" s="383">
        <v>0</v>
      </c>
      <c r="H74" s="385" t="s">
        <v>390</v>
      </c>
      <c r="I74" s="385" t="s">
        <v>1306</v>
      </c>
    </row>
    <row r="75" spans="1:9" x14ac:dyDescent="0.2">
      <c r="A75" s="383" t="s">
        <v>187</v>
      </c>
      <c r="B75" s="384">
        <v>32</v>
      </c>
      <c r="C75" s="385" t="s">
        <v>67</v>
      </c>
      <c r="D75" s="384">
        <v>0.83</v>
      </c>
      <c r="E75" s="385" t="s">
        <v>67</v>
      </c>
      <c r="F75" s="383">
        <v>1</v>
      </c>
      <c r="G75" s="383">
        <v>0</v>
      </c>
      <c r="H75" s="385" t="s">
        <v>390</v>
      </c>
      <c r="I75" s="385" t="s">
        <v>1306</v>
      </c>
    </row>
    <row r="76" spans="1:9" x14ac:dyDescent="0.2">
      <c r="A76" s="387" t="s">
        <v>99</v>
      </c>
      <c r="B76" s="387">
        <v>36</v>
      </c>
      <c r="C76" s="386" t="s">
        <v>67</v>
      </c>
      <c r="D76" s="389">
        <v>0.74</v>
      </c>
      <c r="E76" s="386" t="s">
        <v>67</v>
      </c>
      <c r="F76" s="383">
        <v>2</v>
      </c>
      <c r="G76" s="383">
        <v>0</v>
      </c>
      <c r="H76" s="385" t="s">
        <v>390</v>
      </c>
      <c r="I76" s="385" t="s">
        <v>1306</v>
      </c>
    </row>
    <row r="77" spans="1:9" x14ac:dyDescent="0.2">
      <c r="A77" s="387" t="s">
        <v>100</v>
      </c>
      <c r="B77" s="387">
        <v>35</v>
      </c>
      <c r="C77" s="386" t="s">
        <v>67</v>
      </c>
      <c r="D77" s="389">
        <v>0.74</v>
      </c>
      <c r="E77" s="386" t="s">
        <v>67</v>
      </c>
      <c r="F77" s="383">
        <v>2</v>
      </c>
      <c r="G77" s="383">
        <v>0</v>
      </c>
      <c r="H77" s="385" t="s">
        <v>456</v>
      </c>
      <c r="I77" s="385" t="s">
        <v>1306</v>
      </c>
    </row>
    <row r="78" spans="1:9" x14ac:dyDescent="0.2">
      <c r="A78" s="383" t="s">
        <v>197</v>
      </c>
      <c r="B78" s="384">
        <v>35</v>
      </c>
      <c r="C78" s="385" t="s">
        <v>67</v>
      </c>
      <c r="D78" s="384">
        <v>0.74</v>
      </c>
      <c r="E78" s="385" t="s">
        <v>67</v>
      </c>
      <c r="F78" s="383">
        <v>2</v>
      </c>
      <c r="G78" s="383">
        <v>0</v>
      </c>
      <c r="H78" s="385" t="s">
        <v>456</v>
      </c>
      <c r="I78" s="385" t="s">
        <v>1306</v>
      </c>
    </row>
    <row r="79" spans="1:9" x14ac:dyDescent="0.2">
      <c r="A79" s="383" t="s">
        <v>101</v>
      </c>
      <c r="B79" s="383">
        <v>37</v>
      </c>
      <c r="C79" s="386" t="s">
        <v>67</v>
      </c>
      <c r="D79" s="389">
        <v>0.83</v>
      </c>
      <c r="E79" s="386" t="s">
        <v>67</v>
      </c>
      <c r="F79" s="383">
        <v>2</v>
      </c>
      <c r="G79" s="383">
        <v>110</v>
      </c>
      <c r="H79" s="385" t="s">
        <v>390</v>
      </c>
      <c r="I79" s="385" t="s">
        <v>1306</v>
      </c>
    </row>
    <row r="80" spans="1:9" x14ac:dyDescent="0.2">
      <c r="A80" s="387" t="s">
        <v>102</v>
      </c>
      <c r="B80" s="387">
        <v>37</v>
      </c>
      <c r="C80" s="386" t="s">
        <v>67</v>
      </c>
      <c r="D80" s="389">
        <v>0.83</v>
      </c>
      <c r="E80" s="386" t="s">
        <v>67</v>
      </c>
      <c r="F80" s="383">
        <v>2</v>
      </c>
      <c r="G80" s="383">
        <v>110</v>
      </c>
      <c r="H80" s="385" t="s">
        <v>390</v>
      </c>
      <c r="I80" s="385" t="s">
        <v>1306</v>
      </c>
    </row>
    <row r="81" spans="1:9" x14ac:dyDescent="0.2">
      <c r="A81" s="387" t="s">
        <v>103</v>
      </c>
      <c r="B81" s="387">
        <v>38</v>
      </c>
      <c r="C81" s="386" t="s">
        <v>67</v>
      </c>
      <c r="D81" s="389">
        <v>0.83</v>
      </c>
      <c r="E81" s="386" t="s">
        <v>67</v>
      </c>
      <c r="F81" s="383">
        <v>3</v>
      </c>
      <c r="G81" s="383">
        <v>45</v>
      </c>
      <c r="H81" s="385" t="s">
        <v>390</v>
      </c>
      <c r="I81" s="385" t="s">
        <v>1306</v>
      </c>
    </row>
    <row r="82" spans="1:9" x14ac:dyDescent="0.2">
      <c r="A82" s="389" t="s">
        <v>104</v>
      </c>
      <c r="B82" s="383">
        <v>35</v>
      </c>
      <c r="C82" s="386" t="s">
        <v>65</v>
      </c>
      <c r="D82" s="389">
        <v>1.22</v>
      </c>
      <c r="E82" s="386" t="s">
        <v>65</v>
      </c>
      <c r="F82" s="383">
        <v>1</v>
      </c>
      <c r="G82" s="383">
        <v>0</v>
      </c>
      <c r="H82" s="385">
        <v>0</v>
      </c>
      <c r="I82" s="385">
        <v>8.3299999999999999E-2</v>
      </c>
    </row>
    <row r="83" spans="1:9" x14ac:dyDescent="0.2">
      <c r="A83" s="383" t="s">
        <v>947</v>
      </c>
      <c r="B83" s="384">
        <v>33</v>
      </c>
      <c r="C83" s="385" t="s">
        <v>67</v>
      </c>
      <c r="D83" s="384">
        <v>0.71</v>
      </c>
      <c r="E83" s="385" t="s">
        <v>67</v>
      </c>
      <c r="F83" s="383">
        <v>25</v>
      </c>
      <c r="G83" s="383">
        <v>0</v>
      </c>
      <c r="H83" s="385" t="s">
        <v>390</v>
      </c>
      <c r="I83" s="385" t="s">
        <v>1306</v>
      </c>
    </row>
    <row r="84" spans="1:9" x14ac:dyDescent="0.2">
      <c r="A84" s="383" t="s">
        <v>176</v>
      </c>
      <c r="B84" s="425">
        <v>40</v>
      </c>
      <c r="C84" s="385" t="s">
        <v>65</v>
      </c>
      <c r="D84" s="384">
        <v>1.22</v>
      </c>
      <c r="E84" s="385" t="s">
        <v>65</v>
      </c>
      <c r="F84" s="383">
        <v>0</v>
      </c>
      <c r="G84" s="383">
        <v>0</v>
      </c>
      <c r="H84" s="385">
        <v>0</v>
      </c>
      <c r="I84" s="385">
        <v>8.4750000000000006E-2</v>
      </c>
    </row>
    <row r="85" spans="1:9" x14ac:dyDescent="0.2">
      <c r="A85" s="383" t="s">
        <v>180</v>
      </c>
      <c r="B85" s="384">
        <v>42</v>
      </c>
      <c r="C85" s="385" t="s">
        <v>65</v>
      </c>
      <c r="D85" s="384">
        <v>0</v>
      </c>
      <c r="E85" s="385" t="s">
        <v>65</v>
      </c>
      <c r="F85" s="383">
        <v>0</v>
      </c>
      <c r="G85" s="383">
        <v>0</v>
      </c>
      <c r="H85" s="385">
        <v>0</v>
      </c>
      <c r="I85" s="385">
        <v>7.4959999999999999E-2</v>
      </c>
    </row>
    <row r="86" spans="1:9" x14ac:dyDescent="0.2">
      <c r="A86" s="383" t="s">
        <v>806</v>
      </c>
      <c r="B86" s="383">
        <v>36</v>
      </c>
      <c r="C86" s="385" t="s">
        <v>65</v>
      </c>
      <c r="D86" s="383">
        <v>0.77</v>
      </c>
      <c r="E86" s="385" t="s">
        <v>65</v>
      </c>
      <c r="F86" s="383">
        <v>10</v>
      </c>
      <c r="G86" s="383">
        <v>0</v>
      </c>
      <c r="H86" s="385">
        <v>0</v>
      </c>
      <c r="I86" s="385">
        <v>8.4750000000000006E-2</v>
      </c>
    </row>
    <row r="87" spans="1:9" x14ac:dyDescent="0.2">
      <c r="A87" s="383" t="s">
        <v>807</v>
      </c>
      <c r="B87" s="383">
        <v>36</v>
      </c>
      <c r="C87" s="385" t="s">
        <v>65</v>
      </c>
      <c r="D87" s="383">
        <v>0.69</v>
      </c>
      <c r="E87" s="385" t="s">
        <v>65</v>
      </c>
      <c r="F87" s="383">
        <v>30</v>
      </c>
      <c r="G87" s="383">
        <v>0</v>
      </c>
      <c r="H87" s="385">
        <v>0</v>
      </c>
      <c r="I87" s="385">
        <v>8.4750000000000006E-2</v>
      </c>
    </row>
    <row r="88" spans="1:9" x14ac:dyDescent="0.2">
      <c r="A88" s="383" t="s">
        <v>805</v>
      </c>
      <c r="B88" s="383">
        <v>36</v>
      </c>
      <c r="C88" s="385" t="s">
        <v>65</v>
      </c>
      <c r="D88" s="383">
        <v>0.82</v>
      </c>
      <c r="E88" s="385" t="s">
        <v>65</v>
      </c>
      <c r="F88" s="383">
        <v>4</v>
      </c>
      <c r="G88" s="383">
        <v>0</v>
      </c>
      <c r="H88" s="385">
        <v>0</v>
      </c>
      <c r="I88" s="385">
        <v>8.4750000000000006E-2</v>
      </c>
    </row>
    <row r="89" spans="1:9" x14ac:dyDescent="0.2">
      <c r="A89" s="383" t="s">
        <v>811</v>
      </c>
      <c r="B89" s="383">
        <v>36</v>
      </c>
      <c r="C89" s="385" t="s">
        <v>65</v>
      </c>
      <c r="D89" s="383">
        <v>0.82</v>
      </c>
      <c r="E89" s="385" t="s">
        <v>65</v>
      </c>
      <c r="F89" s="383">
        <v>4</v>
      </c>
      <c r="G89" s="383">
        <v>0</v>
      </c>
      <c r="H89" s="385">
        <v>0</v>
      </c>
      <c r="I89" s="385">
        <v>8.4750000000000006E-2</v>
      </c>
    </row>
    <row r="90" spans="1:9" x14ac:dyDescent="0.2">
      <c r="A90" s="383" t="s">
        <v>803</v>
      </c>
      <c r="B90" s="383">
        <v>36</v>
      </c>
      <c r="C90" s="385" t="s">
        <v>65</v>
      </c>
      <c r="D90" s="383">
        <v>0.79</v>
      </c>
      <c r="E90" s="385" t="s">
        <v>65</v>
      </c>
      <c r="F90" s="383">
        <v>5</v>
      </c>
      <c r="G90" s="383">
        <v>0</v>
      </c>
      <c r="H90" s="385">
        <v>0</v>
      </c>
      <c r="I90" s="385">
        <v>8.4750000000000006E-2</v>
      </c>
    </row>
    <row r="91" spans="1:9" x14ac:dyDescent="0.2">
      <c r="A91" s="383" t="s">
        <v>804</v>
      </c>
      <c r="B91" s="384">
        <v>36</v>
      </c>
      <c r="C91" s="385" t="s">
        <v>65</v>
      </c>
      <c r="D91" s="383">
        <v>0.82</v>
      </c>
      <c r="E91" s="385" t="s">
        <v>65</v>
      </c>
      <c r="F91" s="383">
        <v>3</v>
      </c>
      <c r="G91" s="383">
        <v>0</v>
      </c>
      <c r="H91" s="385">
        <v>0</v>
      </c>
      <c r="I91" s="385">
        <v>8.4750000000000006E-2</v>
      </c>
    </row>
    <row r="92" spans="1:9" x14ac:dyDescent="0.2">
      <c r="A92" s="383" t="s">
        <v>809</v>
      </c>
      <c r="B92" s="384">
        <v>35</v>
      </c>
      <c r="C92" s="385" t="s">
        <v>65</v>
      </c>
      <c r="D92" s="383">
        <v>0.78</v>
      </c>
      <c r="E92" s="385" t="s">
        <v>65</v>
      </c>
      <c r="F92" s="383">
        <v>6</v>
      </c>
      <c r="G92" s="383">
        <v>0</v>
      </c>
      <c r="H92" s="385">
        <v>0</v>
      </c>
      <c r="I92" s="385">
        <v>8.4750000000000006E-2</v>
      </c>
    </row>
    <row r="93" spans="1:9" x14ac:dyDescent="0.2">
      <c r="A93" s="383" t="s">
        <v>810</v>
      </c>
      <c r="B93" s="384">
        <v>36</v>
      </c>
      <c r="C93" s="385" t="s">
        <v>65</v>
      </c>
      <c r="D93" s="383">
        <v>0.78</v>
      </c>
      <c r="E93" s="385" t="s">
        <v>65</v>
      </c>
      <c r="F93" s="383">
        <v>6</v>
      </c>
      <c r="G93" s="383">
        <v>0</v>
      </c>
      <c r="H93" s="385">
        <v>0</v>
      </c>
      <c r="I93" s="385">
        <v>8.4750000000000006E-2</v>
      </c>
    </row>
    <row r="94" spans="1:9" x14ac:dyDescent="0.2">
      <c r="A94" s="383" t="s">
        <v>808</v>
      </c>
      <c r="B94" s="384">
        <v>36</v>
      </c>
      <c r="C94" s="385" t="s">
        <v>65</v>
      </c>
      <c r="D94" s="384">
        <v>0.76</v>
      </c>
      <c r="E94" s="385" t="s">
        <v>65</v>
      </c>
      <c r="F94" s="383">
        <v>3</v>
      </c>
      <c r="G94" s="383">
        <v>0</v>
      </c>
      <c r="H94" s="385">
        <v>0</v>
      </c>
      <c r="I94" s="385">
        <v>8.4750000000000006E-2</v>
      </c>
    </row>
    <row r="95" spans="1:9" x14ac:dyDescent="0.2">
      <c r="A95" s="383" t="s">
        <v>183</v>
      </c>
      <c r="B95" s="384">
        <v>37</v>
      </c>
      <c r="C95" s="385" t="s">
        <v>67</v>
      </c>
      <c r="D95" s="384">
        <v>0.5</v>
      </c>
      <c r="E95" s="385" t="s">
        <v>67</v>
      </c>
      <c r="F95" s="383">
        <v>1</v>
      </c>
      <c r="G95" s="383">
        <v>35</v>
      </c>
      <c r="H95" s="385" t="s">
        <v>390</v>
      </c>
      <c r="I95" s="385" t="s">
        <v>1306</v>
      </c>
    </row>
    <row r="96" spans="1:9" x14ac:dyDescent="0.2">
      <c r="A96" s="389" t="s">
        <v>105</v>
      </c>
      <c r="B96" s="383">
        <v>40</v>
      </c>
      <c r="C96" s="386" t="s">
        <v>65</v>
      </c>
      <c r="D96" s="389">
        <v>0</v>
      </c>
      <c r="E96" s="386" t="s">
        <v>65</v>
      </c>
      <c r="F96" s="383">
        <v>0</v>
      </c>
      <c r="G96" s="383">
        <v>0</v>
      </c>
      <c r="H96" s="385">
        <v>0</v>
      </c>
      <c r="I96" s="385">
        <v>7.4959999999999999E-2</v>
      </c>
    </row>
    <row r="97" spans="1:9" x14ac:dyDescent="0.2">
      <c r="A97" s="383" t="s">
        <v>177</v>
      </c>
      <c r="B97" s="384">
        <v>30</v>
      </c>
      <c r="C97" s="385" t="s">
        <v>65</v>
      </c>
      <c r="D97" s="384">
        <v>1.22</v>
      </c>
      <c r="E97" s="385" t="s">
        <v>65</v>
      </c>
      <c r="F97" s="383">
        <v>35</v>
      </c>
      <c r="G97" s="383">
        <v>0</v>
      </c>
      <c r="H97" s="385">
        <v>0</v>
      </c>
      <c r="I97" s="385">
        <v>8.4750000000000006E-2</v>
      </c>
    </row>
    <row r="98" spans="1:9" x14ac:dyDescent="0.2">
      <c r="A98" s="387" t="s">
        <v>106</v>
      </c>
      <c r="B98" s="387">
        <v>38</v>
      </c>
      <c r="C98" s="386" t="s">
        <v>67</v>
      </c>
      <c r="D98" s="389">
        <v>0.81</v>
      </c>
      <c r="E98" s="386" t="s">
        <v>67</v>
      </c>
      <c r="F98" s="383">
        <v>4</v>
      </c>
      <c r="G98" s="383">
        <v>45</v>
      </c>
      <c r="H98" s="385" t="s">
        <v>390</v>
      </c>
      <c r="I98" s="385" t="s">
        <v>1306</v>
      </c>
    </row>
    <row r="99" spans="1:9" x14ac:dyDescent="0.2">
      <c r="A99" s="383" t="s">
        <v>178</v>
      </c>
      <c r="B99" s="384">
        <v>37</v>
      </c>
      <c r="C99" s="385" t="s">
        <v>67</v>
      </c>
      <c r="D99" s="384">
        <v>0.73</v>
      </c>
      <c r="E99" s="385" t="s">
        <v>67</v>
      </c>
      <c r="F99" s="383">
        <v>20</v>
      </c>
      <c r="G99" s="383">
        <v>10</v>
      </c>
      <c r="H99" s="385" t="s">
        <v>390</v>
      </c>
      <c r="I99" s="385" t="s">
        <v>1306</v>
      </c>
    </row>
    <row r="100" spans="1:9" x14ac:dyDescent="0.2">
      <c r="A100" s="383" t="s">
        <v>179</v>
      </c>
      <c r="B100" s="384">
        <v>35</v>
      </c>
      <c r="C100" s="385" t="s">
        <v>67</v>
      </c>
      <c r="D100" s="384">
        <v>0.81</v>
      </c>
      <c r="E100" s="385" t="s">
        <v>67</v>
      </c>
      <c r="F100" s="383">
        <v>4</v>
      </c>
      <c r="G100" s="383">
        <v>53</v>
      </c>
      <c r="H100" s="385" t="s">
        <v>390</v>
      </c>
      <c r="I100" s="385" t="s">
        <v>1306</v>
      </c>
    </row>
    <row r="101" spans="1:9" x14ac:dyDescent="0.2">
      <c r="A101" s="383" t="s">
        <v>181</v>
      </c>
      <c r="B101" s="384">
        <v>36</v>
      </c>
      <c r="C101" s="385" t="s">
        <v>65</v>
      </c>
      <c r="D101" s="384">
        <v>1.1100000000000001</v>
      </c>
      <c r="E101" s="385" t="s">
        <v>65</v>
      </c>
      <c r="F101" s="383">
        <v>80</v>
      </c>
      <c r="G101" s="383">
        <v>0</v>
      </c>
      <c r="H101" s="385">
        <v>0</v>
      </c>
      <c r="I101" s="385">
        <v>8.4750000000000006E-2</v>
      </c>
    </row>
    <row r="102" spans="1:9" x14ac:dyDescent="0.2">
      <c r="A102" s="383" t="s">
        <v>182</v>
      </c>
      <c r="B102" s="384">
        <v>35</v>
      </c>
      <c r="C102" s="385" t="s">
        <v>67</v>
      </c>
      <c r="D102" s="384">
        <v>0.73</v>
      </c>
      <c r="E102" s="385" t="s">
        <v>67</v>
      </c>
      <c r="F102" s="383">
        <v>20</v>
      </c>
      <c r="G102" s="383">
        <v>20</v>
      </c>
      <c r="H102" s="385" t="s">
        <v>390</v>
      </c>
      <c r="I102" s="385" t="s">
        <v>1306</v>
      </c>
    </row>
    <row r="103" spans="1:9" x14ac:dyDescent="0.2">
      <c r="A103" s="387" t="s">
        <v>107</v>
      </c>
      <c r="B103" s="387">
        <v>35</v>
      </c>
      <c r="C103" s="386" t="s">
        <v>67</v>
      </c>
      <c r="D103" s="389">
        <v>0.77</v>
      </c>
      <c r="E103" s="386" t="s">
        <v>67</v>
      </c>
      <c r="F103" s="383">
        <v>9</v>
      </c>
      <c r="G103" s="383">
        <v>72</v>
      </c>
      <c r="H103" s="385" t="s">
        <v>390</v>
      </c>
      <c r="I103" s="385" t="s">
        <v>1306</v>
      </c>
    </row>
    <row r="104" spans="1:9" x14ac:dyDescent="0.2">
      <c r="A104" s="383" t="s">
        <v>1379</v>
      </c>
      <c r="B104" s="383">
        <v>35</v>
      </c>
      <c r="C104" s="385" t="s">
        <v>67</v>
      </c>
      <c r="D104" s="383">
        <v>0.77</v>
      </c>
      <c r="E104" s="385" t="s">
        <v>67</v>
      </c>
      <c r="F104" s="383">
        <v>9</v>
      </c>
      <c r="G104" s="383">
        <v>72</v>
      </c>
      <c r="H104" s="385" t="s">
        <v>390</v>
      </c>
      <c r="I104" s="385" t="s">
        <v>1306</v>
      </c>
    </row>
    <row r="105" spans="1:9" x14ac:dyDescent="0.2">
      <c r="A105" s="383" t="s">
        <v>698</v>
      </c>
      <c r="B105" s="384">
        <v>37</v>
      </c>
      <c r="C105" s="385" t="s">
        <v>67</v>
      </c>
      <c r="D105" s="389">
        <v>0.81</v>
      </c>
      <c r="E105" s="385" t="s">
        <v>67</v>
      </c>
      <c r="F105" s="383">
        <v>3.5</v>
      </c>
      <c r="G105" s="383">
        <v>85</v>
      </c>
      <c r="H105" s="385" t="s">
        <v>390</v>
      </c>
      <c r="I105" s="385" t="s">
        <v>1306</v>
      </c>
    </row>
    <row r="106" spans="1:9" x14ac:dyDescent="0.2">
      <c r="A106" s="383" t="s">
        <v>943</v>
      </c>
      <c r="B106" s="383">
        <v>36</v>
      </c>
      <c r="C106" s="385" t="s">
        <v>67</v>
      </c>
      <c r="D106" s="389">
        <v>0.81</v>
      </c>
      <c r="E106" s="385" t="s">
        <v>67</v>
      </c>
      <c r="F106" s="383">
        <v>3.5</v>
      </c>
      <c r="G106" s="383">
        <v>85</v>
      </c>
      <c r="H106" s="385" t="s">
        <v>390</v>
      </c>
      <c r="I106" s="385" t="s">
        <v>1306</v>
      </c>
    </row>
    <row r="107" spans="1:9" x14ac:dyDescent="0.2">
      <c r="A107" s="383" t="s">
        <v>1098</v>
      </c>
      <c r="B107" s="383">
        <v>37</v>
      </c>
      <c r="C107" s="385" t="s">
        <v>67</v>
      </c>
      <c r="D107" s="383">
        <v>0.81</v>
      </c>
      <c r="E107" s="385" t="s">
        <v>67</v>
      </c>
      <c r="F107" s="383">
        <v>1.8</v>
      </c>
      <c r="G107" s="383">
        <v>134</v>
      </c>
      <c r="H107" s="385" t="s">
        <v>390</v>
      </c>
      <c r="I107" s="385" t="s">
        <v>1306</v>
      </c>
    </row>
    <row r="108" spans="1:9" x14ac:dyDescent="0.2">
      <c r="A108" s="383" t="s">
        <v>975</v>
      </c>
      <c r="B108" s="383">
        <v>37</v>
      </c>
      <c r="C108" s="385" t="s">
        <v>67</v>
      </c>
      <c r="D108" s="383">
        <v>0.81</v>
      </c>
      <c r="E108" s="385" t="s">
        <v>67</v>
      </c>
      <c r="F108" s="383">
        <v>3</v>
      </c>
      <c r="G108" s="383">
        <v>134</v>
      </c>
      <c r="H108" s="385" t="s">
        <v>390</v>
      </c>
      <c r="I108" s="385" t="s">
        <v>1306</v>
      </c>
    </row>
    <row r="109" spans="1:9" x14ac:dyDescent="0.2">
      <c r="A109" s="383" t="s">
        <v>1307</v>
      </c>
      <c r="B109" s="383">
        <v>37</v>
      </c>
      <c r="C109" s="385" t="s">
        <v>67</v>
      </c>
      <c r="D109" s="383">
        <v>0.81</v>
      </c>
      <c r="E109" s="385" t="s">
        <v>67</v>
      </c>
      <c r="F109" s="383">
        <v>2.6</v>
      </c>
      <c r="G109" s="383">
        <v>65</v>
      </c>
      <c r="H109" s="385" t="s">
        <v>390</v>
      </c>
      <c r="I109" s="385" t="s">
        <v>1306</v>
      </c>
    </row>
    <row r="110" spans="1:9" x14ac:dyDescent="0.2">
      <c r="A110" s="383" t="s">
        <v>697</v>
      </c>
      <c r="B110" s="384">
        <v>37</v>
      </c>
      <c r="C110" s="385" t="s">
        <v>67</v>
      </c>
      <c r="D110" s="383">
        <v>0.83</v>
      </c>
      <c r="E110" s="385" t="s">
        <v>67</v>
      </c>
      <c r="F110" s="383">
        <v>1.2</v>
      </c>
      <c r="G110" s="383">
        <v>140</v>
      </c>
      <c r="H110" s="385" t="s">
        <v>390</v>
      </c>
      <c r="I110" s="385" t="s">
        <v>1306</v>
      </c>
    </row>
    <row r="111" spans="1:9" x14ac:dyDescent="0.2">
      <c r="A111" s="383" t="s">
        <v>1117</v>
      </c>
      <c r="B111" s="384">
        <v>35</v>
      </c>
      <c r="C111" s="385" t="s">
        <v>67</v>
      </c>
      <c r="D111" s="384">
        <v>0.74</v>
      </c>
      <c r="E111" s="385" t="s">
        <v>67</v>
      </c>
      <c r="F111" s="383">
        <v>2</v>
      </c>
      <c r="G111" s="383">
        <v>0</v>
      </c>
      <c r="H111" s="385" t="s">
        <v>456</v>
      </c>
      <c r="I111" s="385" t="s">
        <v>1306</v>
      </c>
    </row>
    <row r="112" spans="1:9" x14ac:dyDescent="0.2">
      <c r="A112" s="383" t="s">
        <v>186</v>
      </c>
      <c r="B112" s="384">
        <v>32</v>
      </c>
      <c r="C112" s="385" t="s">
        <v>65</v>
      </c>
      <c r="D112" s="384">
        <v>0.83</v>
      </c>
      <c r="E112" s="385" t="s">
        <v>65</v>
      </c>
      <c r="F112" s="383">
        <v>7</v>
      </c>
      <c r="G112" s="383">
        <v>0</v>
      </c>
      <c r="H112" s="385">
        <v>0</v>
      </c>
      <c r="I112" s="385">
        <v>8.4750000000000006E-2</v>
      </c>
    </row>
    <row r="113" spans="1:9" x14ac:dyDescent="0.2">
      <c r="A113" s="383" t="s">
        <v>265</v>
      </c>
      <c r="B113" s="384">
        <v>25</v>
      </c>
      <c r="C113" s="385" t="s">
        <v>67</v>
      </c>
      <c r="D113" s="384">
        <v>0.15</v>
      </c>
      <c r="E113" s="385" t="s">
        <v>67</v>
      </c>
      <c r="F113" s="383">
        <v>500</v>
      </c>
      <c r="G113" s="383">
        <v>0</v>
      </c>
      <c r="H113" s="385" t="s">
        <v>392</v>
      </c>
      <c r="I113" s="385" t="s">
        <v>1306</v>
      </c>
    </row>
    <row r="114" spans="1:9" x14ac:dyDescent="0.2">
      <c r="A114" s="383" t="s">
        <v>188</v>
      </c>
      <c r="B114" s="384">
        <v>25</v>
      </c>
      <c r="C114" s="385" t="s">
        <v>67</v>
      </c>
      <c r="D114" s="384">
        <v>0.15</v>
      </c>
      <c r="E114" s="385" t="s">
        <v>67</v>
      </c>
      <c r="F114" s="383">
        <v>300</v>
      </c>
      <c r="G114" s="383">
        <v>0</v>
      </c>
      <c r="H114" s="385" t="s">
        <v>392</v>
      </c>
      <c r="I114" s="385" t="s">
        <v>1306</v>
      </c>
    </row>
    <row r="115" spans="1:9" x14ac:dyDescent="0.2">
      <c r="A115" s="383" t="s">
        <v>189</v>
      </c>
      <c r="B115" s="384">
        <v>29</v>
      </c>
      <c r="C115" s="385" t="s">
        <v>67</v>
      </c>
      <c r="D115" s="384">
        <v>0.74</v>
      </c>
      <c r="E115" s="385" t="s">
        <v>67</v>
      </c>
      <c r="F115" s="383">
        <v>5</v>
      </c>
      <c r="G115" s="383">
        <v>75</v>
      </c>
      <c r="H115" s="385" t="s">
        <v>390</v>
      </c>
      <c r="I115" s="385" t="s">
        <v>1306</v>
      </c>
    </row>
    <row r="116" spans="1:9" x14ac:dyDescent="0.2">
      <c r="A116" s="388" t="s">
        <v>108</v>
      </c>
      <c r="B116" s="388">
        <v>34</v>
      </c>
      <c r="C116" s="386" t="s">
        <v>67</v>
      </c>
      <c r="D116" s="389">
        <v>0.16</v>
      </c>
      <c r="E116" s="386" t="s">
        <v>67</v>
      </c>
      <c r="F116" s="383">
        <v>430</v>
      </c>
      <c r="G116" s="383">
        <v>0</v>
      </c>
      <c r="H116" s="385" t="s">
        <v>392</v>
      </c>
      <c r="I116" s="385" t="s">
        <v>1306</v>
      </c>
    </row>
    <row r="117" spans="1:9" x14ac:dyDescent="0.2">
      <c r="A117" s="383" t="s">
        <v>1337</v>
      </c>
      <c r="B117" s="384">
        <v>34</v>
      </c>
      <c r="C117" s="385" t="s">
        <v>67</v>
      </c>
      <c r="D117" s="384">
        <v>0.55000000000000004</v>
      </c>
      <c r="E117" s="385" t="s">
        <v>67</v>
      </c>
      <c r="F117" s="383">
        <v>75</v>
      </c>
      <c r="G117" s="383">
        <v>0</v>
      </c>
      <c r="H117" s="385" t="s">
        <v>391</v>
      </c>
      <c r="I117" s="385" t="s">
        <v>1306</v>
      </c>
    </row>
    <row r="118" spans="1:9" x14ac:dyDescent="0.2">
      <c r="A118" s="383" t="s">
        <v>692</v>
      </c>
      <c r="B118" s="384">
        <v>37</v>
      </c>
      <c r="C118" s="385" t="s">
        <v>67</v>
      </c>
      <c r="D118" s="384">
        <v>0.79</v>
      </c>
      <c r="E118" s="385" t="s">
        <v>67</v>
      </c>
      <c r="F118" s="383">
        <v>5</v>
      </c>
      <c r="G118" s="383">
        <v>140</v>
      </c>
      <c r="H118" s="385" t="s">
        <v>390</v>
      </c>
      <c r="I118" s="385" t="s">
        <v>1306</v>
      </c>
    </row>
    <row r="119" spans="1:9" x14ac:dyDescent="0.2">
      <c r="A119" s="383" t="s">
        <v>691</v>
      </c>
      <c r="B119" s="384">
        <v>37</v>
      </c>
      <c r="C119" s="385" t="s">
        <v>67</v>
      </c>
      <c r="D119" s="384">
        <v>0.79</v>
      </c>
      <c r="E119" s="385" t="s">
        <v>67</v>
      </c>
      <c r="F119" s="383">
        <v>3</v>
      </c>
      <c r="G119" s="383">
        <v>110</v>
      </c>
      <c r="H119" s="385" t="s">
        <v>390</v>
      </c>
      <c r="I119" s="385" t="s">
        <v>1306</v>
      </c>
    </row>
    <row r="120" spans="1:9" x14ac:dyDescent="0.2">
      <c r="A120" s="383" t="s">
        <v>190</v>
      </c>
      <c r="B120" s="384">
        <v>30</v>
      </c>
      <c r="C120" s="385" t="s">
        <v>67</v>
      </c>
      <c r="D120" s="384">
        <v>0.62</v>
      </c>
      <c r="E120" s="385" t="s">
        <v>67</v>
      </c>
      <c r="F120" s="383">
        <v>180</v>
      </c>
      <c r="G120" s="383">
        <v>0</v>
      </c>
      <c r="H120" s="385" t="s">
        <v>391</v>
      </c>
      <c r="I120" s="385" t="s">
        <v>1306</v>
      </c>
    </row>
    <row r="121" spans="1:9" x14ac:dyDescent="0.2">
      <c r="A121" s="383" t="s">
        <v>191</v>
      </c>
      <c r="B121" s="384">
        <v>33</v>
      </c>
      <c r="C121" s="385" t="s">
        <v>67</v>
      </c>
      <c r="D121" s="384">
        <v>0.63</v>
      </c>
      <c r="E121" s="385" t="s">
        <v>67</v>
      </c>
      <c r="F121" s="383">
        <v>50</v>
      </c>
      <c r="G121" s="383">
        <v>0</v>
      </c>
      <c r="H121" s="385" t="s">
        <v>392</v>
      </c>
      <c r="I121" s="385" t="s">
        <v>1306</v>
      </c>
    </row>
    <row r="122" spans="1:9" x14ac:dyDescent="0.2">
      <c r="A122" s="383" t="s">
        <v>114</v>
      </c>
      <c r="B122" s="383">
        <v>46</v>
      </c>
      <c r="C122" s="385" t="s">
        <v>65</v>
      </c>
      <c r="D122" s="383">
        <v>1.22</v>
      </c>
      <c r="E122" s="385" t="s">
        <v>65</v>
      </c>
      <c r="F122" s="383">
        <v>0</v>
      </c>
      <c r="G122" s="383">
        <v>0</v>
      </c>
      <c r="H122" s="385">
        <v>0</v>
      </c>
      <c r="I122" s="385">
        <v>7.4959999999999999E-2</v>
      </c>
    </row>
    <row r="123" spans="1:9" x14ac:dyDescent="0.2">
      <c r="A123" s="383" t="s">
        <v>198</v>
      </c>
      <c r="B123" s="384">
        <v>36</v>
      </c>
      <c r="C123" s="385" t="s">
        <v>67</v>
      </c>
      <c r="D123" s="384">
        <v>0.74</v>
      </c>
      <c r="E123" s="385" t="s">
        <v>67</v>
      </c>
      <c r="F123" s="383">
        <v>2</v>
      </c>
      <c r="G123" s="383">
        <v>0</v>
      </c>
      <c r="H123" s="385" t="s">
        <v>456</v>
      </c>
      <c r="I123" s="385" t="s">
        <v>1306</v>
      </c>
    </row>
    <row r="124" spans="1:9" x14ac:dyDescent="0.2">
      <c r="A124" s="383" t="s">
        <v>192</v>
      </c>
      <c r="B124" s="384">
        <v>44</v>
      </c>
      <c r="C124" s="385" t="s">
        <v>65</v>
      </c>
      <c r="D124" s="384">
        <v>1.21</v>
      </c>
      <c r="E124" s="385" t="s">
        <v>65</v>
      </c>
      <c r="F124" s="383">
        <v>10</v>
      </c>
      <c r="G124" s="383">
        <v>0</v>
      </c>
      <c r="H124" s="385">
        <v>0</v>
      </c>
      <c r="I124" s="385">
        <v>7.4959999999999999E-2</v>
      </c>
    </row>
    <row r="125" spans="1:9" x14ac:dyDescent="0.2">
      <c r="A125" s="383" t="s">
        <v>185</v>
      </c>
      <c r="B125" s="384">
        <v>36</v>
      </c>
      <c r="C125" s="385" t="s">
        <v>67</v>
      </c>
      <c r="D125" s="384">
        <v>0.83</v>
      </c>
      <c r="E125" s="385" t="s">
        <v>67</v>
      </c>
      <c r="F125" s="383">
        <v>1</v>
      </c>
      <c r="G125" s="383">
        <v>60</v>
      </c>
      <c r="H125" s="385" t="s">
        <v>390</v>
      </c>
      <c r="I125" s="385" t="s">
        <v>1306</v>
      </c>
    </row>
    <row r="126" spans="1:9" x14ac:dyDescent="0.2">
      <c r="A126" s="383" t="s">
        <v>193</v>
      </c>
      <c r="B126" s="384">
        <v>34</v>
      </c>
      <c r="C126" s="385" t="s">
        <v>67</v>
      </c>
      <c r="D126" s="384">
        <v>0.7</v>
      </c>
      <c r="E126" s="385" t="s">
        <v>67</v>
      </c>
      <c r="F126" s="383">
        <v>28</v>
      </c>
      <c r="G126" s="383">
        <v>0</v>
      </c>
      <c r="H126" s="385" t="s">
        <v>390</v>
      </c>
      <c r="I126" s="385" t="s">
        <v>1306</v>
      </c>
    </row>
    <row r="127" spans="1:9" x14ac:dyDescent="0.2">
      <c r="A127" s="387" t="s">
        <v>376</v>
      </c>
      <c r="B127" s="387">
        <v>37</v>
      </c>
      <c r="C127" s="386" t="s">
        <v>67</v>
      </c>
      <c r="D127" s="389">
        <v>0.79</v>
      </c>
      <c r="E127" s="386" t="s">
        <v>67</v>
      </c>
      <c r="F127" s="383">
        <v>4</v>
      </c>
      <c r="G127" s="383">
        <v>50</v>
      </c>
      <c r="H127" s="385" t="s">
        <v>390</v>
      </c>
      <c r="I127" s="385" t="s">
        <v>1306</v>
      </c>
    </row>
    <row r="128" spans="1:9" x14ac:dyDescent="0.2">
      <c r="A128" s="383" t="s">
        <v>699</v>
      </c>
      <c r="B128" s="384">
        <v>36</v>
      </c>
      <c r="C128" s="385" t="s">
        <v>67</v>
      </c>
      <c r="D128" s="389">
        <v>0.79</v>
      </c>
      <c r="E128" s="385" t="s">
        <v>67</v>
      </c>
      <c r="F128" s="383">
        <v>3.5</v>
      </c>
      <c r="G128" s="383">
        <v>130</v>
      </c>
      <c r="H128" s="385" t="s">
        <v>390</v>
      </c>
      <c r="I128" s="385" t="s">
        <v>1306</v>
      </c>
    </row>
    <row r="129" spans="1:9" x14ac:dyDescent="0.2">
      <c r="A129" s="387" t="s">
        <v>109</v>
      </c>
      <c r="B129" s="387">
        <v>35</v>
      </c>
      <c r="C129" s="386" t="s">
        <v>67</v>
      </c>
      <c r="D129" s="389">
        <v>0.77</v>
      </c>
      <c r="E129" s="386" t="s">
        <v>67</v>
      </c>
      <c r="F129" s="383">
        <v>9</v>
      </c>
      <c r="G129" s="383">
        <v>72</v>
      </c>
      <c r="H129" s="385" t="s">
        <v>390</v>
      </c>
      <c r="I129" s="385" t="s">
        <v>1306</v>
      </c>
    </row>
    <row r="130" spans="1:9" x14ac:dyDescent="0.2">
      <c r="A130" s="383" t="s">
        <v>110</v>
      </c>
      <c r="B130" s="383">
        <v>38</v>
      </c>
      <c r="C130" s="386" t="s">
        <v>67</v>
      </c>
      <c r="D130" s="389">
        <v>0.74</v>
      </c>
      <c r="E130" s="386" t="s">
        <v>67</v>
      </c>
      <c r="F130" s="383">
        <v>2</v>
      </c>
      <c r="G130" s="383">
        <v>95</v>
      </c>
      <c r="H130" s="385" t="s">
        <v>456</v>
      </c>
      <c r="I130" s="385" t="s">
        <v>1306</v>
      </c>
    </row>
    <row r="131" spans="1:9" x14ac:dyDescent="0.2">
      <c r="A131" s="388" t="s">
        <v>111</v>
      </c>
      <c r="B131" s="388">
        <v>38</v>
      </c>
      <c r="C131" s="386" t="s">
        <v>67</v>
      </c>
      <c r="D131" s="389">
        <v>0.79</v>
      </c>
      <c r="E131" s="386" t="s">
        <v>67</v>
      </c>
      <c r="F131" s="383">
        <v>3</v>
      </c>
      <c r="G131" s="383">
        <v>50</v>
      </c>
      <c r="H131" s="385" t="s">
        <v>390</v>
      </c>
      <c r="I131" s="385" t="s">
        <v>1306</v>
      </c>
    </row>
    <row r="132" spans="1:9" x14ac:dyDescent="0.2">
      <c r="A132" s="383" t="s">
        <v>194</v>
      </c>
      <c r="B132" s="384">
        <v>44</v>
      </c>
      <c r="C132" s="385" t="s">
        <v>65</v>
      </c>
      <c r="D132" s="384">
        <v>0.74</v>
      </c>
      <c r="E132" s="385" t="s">
        <v>65</v>
      </c>
      <c r="F132" s="383">
        <v>3</v>
      </c>
      <c r="G132" s="383">
        <v>0</v>
      </c>
      <c r="H132" s="385">
        <v>0</v>
      </c>
      <c r="I132" s="385">
        <v>7.4959999999999999E-2</v>
      </c>
    </row>
    <row r="133" spans="1:9" x14ac:dyDescent="0.2">
      <c r="A133" s="387" t="s">
        <v>112</v>
      </c>
      <c r="B133" s="387">
        <v>38</v>
      </c>
      <c r="C133" s="386" t="s">
        <v>67</v>
      </c>
      <c r="D133" s="383">
        <v>0.74</v>
      </c>
      <c r="E133" s="386" t="s">
        <v>67</v>
      </c>
      <c r="F133" s="383">
        <v>2</v>
      </c>
      <c r="G133" s="383">
        <v>74</v>
      </c>
      <c r="H133" s="385" t="s">
        <v>456</v>
      </c>
      <c r="I133" s="385" t="s">
        <v>1306</v>
      </c>
    </row>
    <row r="134" spans="1:9" x14ac:dyDescent="0.2">
      <c r="A134" s="383" t="s">
        <v>195</v>
      </c>
      <c r="B134" s="384">
        <v>37</v>
      </c>
      <c r="C134" s="385" t="s">
        <v>67</v>
      </c>
      <c r="D134" s="384">
        <v>0.74</v>
      </c>
      <c r="E134" s="385" t="s">
        <v>67</v>
      </c>
      <c r="F134" s="383">
        <v>2</v>
      </c>
      <c r="G134" s="383">
        <v>74</v>
      </c>
      <c r="H134" s="385" t="s">
        <v>456</v>
      </c>
      <c r="I134" s="385" t="s">
        <v>1306</v>
      </c>
    </row>
    <row r="135" spans="1:9" x14ac:dyDescent="0.2">
      <c r="A135" s="383" t="s">
        <v>196</v>
      </c>
      <c r="B135" s="384">
        <v>38</v>
      </c>
      <c r="C135" s="385" t="s">
        <v>67</v>
      </c>
      <c r="D135" s="384">
        <v>0.74</v>
      </c>
      <c r="E135" s="385" t="s">
        <v>67</v>
      </c>
      <c r="F135" s="383">
        <v>2</v>
      </c>
      <c r="G135" s="383">
        <v>95</v>
      </c>
      <c r="H135" s="385" t="s">
        <v>456</v>
      </c>
      <c r="I135" s="385" t="s">
        <v>1306</v>
      </c>
    </row>
    <row r="136" spans="1:9" x14ac:dyDescent="0.2">
      <c r="A136" s="383" t="s">
        <v>199</v>
      </c>
      <c r="B136" s="384">
        <v>40</v>
      </c>
      <c r="C136" s="385" t="s">
        <v>67</v>
      </c>
      <c r="D136" s="384">
        <v>0.74</v>
      </c>
      <c r="E136" s="385" t="s">
        <v>67</v>
      </c>
      <c r="F136" s="383">
        <v>2</v>
      </c>
      <c r="G136" s="383">
        <v>160</v>
      </c>
      <c r="H136" s="385" t="s">
        <v>456</v>
      </c>
      <c r="I136" s="385" t="s">
        <v>1306</v>
      </c>
    </row>
    <row r="137" spans="1:9" x14ac:dyDescent="0.2">
      <c r="A137" s="383" t="s">
        <v>1334</v>
      </c>
      <c r="B137" s="383">
        <v>39.698</v>
      </c>
      <c r="C137" s="385" t="s">
        <v>67</v>
      </c>
      <c r="D137" s="384">
        <v>0.74</v>
      </c>
      <c r="E137" s="385" t="s">
        <v>67</v>
      </c>
      <c r="F137" s="383">
        <v>3.1</v>
      </c>
      <c r="G137" s="383">
        <v>188</v>
      </c>
      <c r="H137" s="385" t="s">
        <v>456</v>
      </c>
      <c r="I137" s="385" t="s">
        <v>1306</v>
      </c>
    </row>
    <row r="138" spans="1:9" x14ac:dyDescent="0.2">
      <c r="A138" s="383"/>
      <c r="B138" s="383"/>
      <c r="C138" s="385"/>
      <c r="D138" s="383"/>
      <c r="E138" s="385"/>
      <c r="F138" s="383"/>
      <c r="G138" s="383"/>
      <c r="H138" s="385"/>
      <c r="I138" s="385"/>
    </row>
    <row r="139" spans="1:9" x14ac:dyDescent="0.2">
      <c r="A139" s="383"/>
      <c r="B139" s="383"/>
      <c r="C139" s="385"/>
      <c r="D139" s="383"/>
      <c r="E139" s="385"/>
      <c r="F139" s="383"/>
      <c r="G139" s="383"/>
      <c r="H139" s="385"/>
      <c r="I139" s="385"/>
    </row>
    <row r="140" spans="1:9" x14ac:dyDescent="0.2">
      <c r="A140" s="383"/>
      <c r="B140" s="383"/>
      <c r="C140" s="385"/>
      <c r="D140" s="383"/>
      <c r="E140" s="385"/>
      <c r="F140" s="383"/>
      <c r="G140" s="383"/>
      <c r="H140" s="385"/>
      <c r="I140" s="385"/>
    </row>
    <row r="141" spans="1:9" x14ac:dyDescent="0.2">
      <c r="A141" s="383"/>
      <c r="B141" s="383"/>
      <c r="C141" s="385"/>
      <c r="D141" s="383"/>
      <c r="E141" s="385"/>
      <c r="F141" s="383"/>
      <c r="G141" s="383"/>
      <c r="H141" s="385"/>
      <c r="I141" s="385"/>
    </row>
    <row r="142" spans="1:9" x14ac:dyDescent="0.2">
      <c r="A142" s="383"/>
      <c r="B142" s="383"/>
      <c r="C142" s="385"/>
      <c r="D142" s="383"/>
      <c r="E142" s="385"/>
      <c r="F142" s="383"/>
      <c r="G142" s="383"/>
      <c r="H142" s="385"/>
      <c r="I142" s="385"/>
    </row>
    <row r="143" spans="1:9" x14ac:dyDescent="0.2">
      <c r="A143" s="383"/>
      <c r="B143" s="383"/>
      <c r="C143" s="385"/>
      <c r="D143" s="383"/>
      <c r="E143" s="385"/>
      <c r="F143" s="383"/>
      <c r="G143" s="383"/>
      <c r="H143" s="385"/>
      <c r="I143" s="385"/>
    </row>
    <row r="144" spans="1:9" x14ac:dyDescent="0.2">
      <c r="A144" s="383"/>
      <c r="B144" s="383"/>
      <c r="C144" s="385"/>
      <c r="D144" s="383"/>
      <c r="E144" s="385"/>
      <c r="F144" s="383"/>
      <c r="G144" s="383"/>
      <c r="H144" s="385"/>
      <c r="I144" s="385"/>
    </row>
    <row r="145" spans="1:9" x14ac:dyDescent="0.2">
      <c r="A145" s="383"/>
      <c r="B145" s="383"/>
      <c r="C145" s="385"/>
      <c r="D145" s="383"/>
      <c r="E145" s="385"/>
      <c r="F145" s="383"/>
      <c r="G145" s="383"/>
      <c r="H145" s="385"/>
      <c r="I145" s="385"/>
    </row>
    <row r="146" spans="1:9" x14ac:dyDescent="0.2">
      <c r="A146" s="383"/>
      <c r="B146" s="383"/>
      <c r="C146" s="385"/>
      <c r="D146" s="383"/>
      <c r="E146" s="385"/>
      <c r="F146" s="383"/>
      <c r="G146" s="383"/>
      <c r="H146" s="385"/>
      <c r="I146" s="385"/>
    </row>
    <row r="147" spans="1:9" x14ac:dyDescent="0.2">
      <c r="A147" s="383"/>
      <c r="B147" s="383"/>
      <c r="C147" s="385"/>
      <c r="D147" s="383"/>
      <c r="E147" s="385"/>
      <c r="F147" s="383"/>
      <c r="G147" s="383"/>
      <c r="H147" s="385"/>
      <c r="I147" s="385"/>
    </row>
    <row r="148" spans="1:9" x14ac:dyDescent="0.2">
      <c r="A148" s="383"/>
      <c r="B148" s="383"/>
      <c r="C148" s="385"/>
      <c r="D148" s="383"/>
      <c r="E148" s="385"/>
      <c r="F148" s="383"/>
      <c r="G148" s="383"/>
      <c r="H148" s="385"/>
      <c r="I148" s="385"/>
    </row>
    <row r="149" spans="1:9" x14ac:dyDescent="0.2">
      <c r="A149" s="383"/>
      <c r="B149" s="383"/>
      <c r="C149" s="385"/>
      <c r="D149" s="383"/>
      <c r="E149" s="385"/>
      <c r="F149" s="383"/>
      <c r="G149" s="383"/>
      <c r="H149" s="385"/>
      <c r="I149" s="385"/>
    </row>
    <row r="150" spans="1:9" x14ac:dyDescent="0.2">
      <c r="A150" s="383"/>
      <c r="B150" s="383"/>
      <c r="C150" s="385"/>
      <c r="D150" s="383"/>
      <c r="E150" s="385"/>
      <c r="F150" s="383"/>
      <c r="G150" s="383"/>
      <c r="H150" s="385"/>
      <c r="I150" s="385"/>
    </row>
    <row r="151" spans="1:9" x14ac:dyDescent="0.2">
      <c r="A151" s="383"/>
      <c r="B151" s="383"/>
      <c r="C151" s="385"/>
      <c r="D151" s="383"/>
      <c r="E151" s="385"/>
      <c r="F151" s="383"/>
      <c r="G151" s="383"/>
      <c r="H151" s="385"/>
      <c r="I151" s="385"/>
    </row>
    <row r="152" spans="1:9" x14ac:dyDescent="0.2">
      <c r="A152" s="383"/>
      <c r="B152" s="383"/>
      <c r="C152" s="385"/>
      <c r="D152" s="383"/>
      <c r="E152" s="385"/>
      <c r="F152" s="383"/>
      <c r="G152" s="383"/>
      <c r="H152" s="385"/>
      <c r="I152" s="385"/>
    </row>
    <row r="153" spans="1:9" x14ac:dyDescent="0.2">
      <c r="A153" s="383"/>
      <c r="B153" s="383"/>
      <c r="C153" s="385"/>
      <c r="D153" s="383"/>
      <c r="E153" s="385"/>
      <c r="F153" s="383"/>
      <c r="G153" s="383"/>
      <c r="H153" s="385"/>
      <c r="I153" s="385"/>
    </row>
    <row r="154" spans="1:9" x14ac:dyDescent="0.2">
      <c r="A154" s="383"/>
      <c r="B154" s="383"/>
      <c r="C154" s="385"/>
      <c r="D154" s="383"/>
      <c r="E154" s="385"/>
      <c r="F154" s="383"/>
      <c r="G154" s="383"/>
      <c r="H154" s="385"/>
      <c r="I154" s="385"/>
    </row>
    <row r="155" spans="1:9" x14ac:dyDescent="0.2">
      <c r="A155" s="383"/>
      <c r="B155" s="383"/>
      <c r="C155" s="385"/>
      <c r="D155" s="383"/>
      <c r="E155" s="385"/>
      <c r="F155" s="383"/>
      <c r="G155" s="383"/>
      <c r="H155" s="385"/>
      <c r="I155" s="385"/>
    </row>
    <row r="156" spans="1:9" x14ac:dyDescent="0.2">
      <c r="A156" s="383"/>
      <c r="B156" s="383"/>
      <c r="C156" s="385"/>
      <c r="D156" s="383"/>
      <c r="E156" s="385"/>
      <c r="F156" s="383"/>
      <c r="G156" s="383"/>
      <c r="H156" s="385"/>
      <c r="I156" s="385"/>
    </row>
    <row r="157" spans="1:9" x14ac:dyDescent="0.2">
      <c r="A157" s="383"/>
      <c r="B157" s="383"/>
      <c r="C157" s="385"/>
      <c r="D157" s="383"/>
      <c r="E157" s="385"/>
      <c r="F157" s="383"/>
      <c r="G157" s="383"/>
      <c r="H157" s="385"/>
      <c r="I157" s="385"/>
    </row>
    <row r="158" spans="1:9" x14ac:dyDescent="0.2">
      <c r="A158" s="383"/>
      <c r="B158" s="383"/>
      <c r="C158" s="385"/>
      <c r="D158" s="383"/>
      <c r="E158" s="385"/>
      <c r="F158" s="383"/>
      <c r="G158" s="383"/>
      <c r="H158" s="385"/>
      <c r="I158" s="385"/>
    </row>
    <row r="159" spans="1:9" x14ac:dyDescent="0.2">
      <c r="A159" s="383"/>
      <c r="B159" s="383"/>
      <c r="C159" s="385"/>
      <c r="D159" s="383"/>
      <c r="E159" s="385"/>
      <c r="F159" s="383"/>
      <c r="G159" s="383"/>
      <c r="H159" s="385"/>
      <c r="I159" s="385"/>
    </row>
    <row r="160" spans="1:9" x14ac:dyDescent="0.2">
      <c r="A160" s="383"/>
      <c r="B160" s="383"/>
      <c r="C160" s="385"/>
      <c r="D160" s="383"/>
      <c r="E160" s="385"/>
      <c r="F160" s="383"/>
      <c r="G160" s="383"/>
      <c r="H160" s="385"/>
      <c r="I160" s="385"/>
    </row>
    <row r="161" spans="1:9" x14ac:dyDescent="0.2">
      <c r="A161" s="383"/>
      <c r="B161" s="383"/>
      <c r="C161" s="385"/>
      <c r="D161" s="383"/>
      <c r="E161" s="385"/>
      <c r="F161" s="383"/>
      <c r="G161" s="383"/>
      <c r="H161" s="385"/>
      <c r="I161" s="385"/>
    </row>
    <row r="162" spans="1:9" x14ac:dyDescent="0.2">
      <c r="A162" s="383"/>
      <c r="B162" s="383"/>
      <c r="C162" s="385"/>
      <c r="D162" s="383"/>
      <c r="E162" s="385"/>
      <c r="F162" s="383"/>
      <c r="G162" s="383"/>
      <c r="H162" s="385"/>
      <c r="I162" s="385"/>
    </row>
    <row r="163" spans="1:9" x14ac:dyDescent="0.2">
      <c r="A163" s="383"/>
      <c r="B163" s="383"/>
      <c r="C163" s="385"/>
      <c r="D163" s="383"/>
      <c r="E163" s="385"/>
      <c r="F163" s="383"/>
      <c r="G163" s="383"/>
      <c r="H163" s="385"/>
      <c r="I163" s="385"/>
    </row>
    <row r="164" spans="1:9" x14ac:dyDescent="0.2">
      <c r="A164" s="383"/>
      <c r="B164" s="383"/>
      <c r="C164" s="385"/>
      <c r="D164" s="383"/>
      <c r="E164" s="385"/>
      <c r="F164" s="383"/>
      <c r="G164" s="383"/>
      <c r="H164" s="385"/>
      <c r="I164" s="385"/>
    </row>
    <row r="165" spans="1:9" x14ac:dyDescent="0.2">
      <c r="A165" s="383"/>
      <c r="B165" s="383"/>
      <c r="C165" s="385"/>
      <c r="D165" s="383"/>
      <c r="E165" s="385"/>
      <c r="F165" s="383"/>
      <c r="G165" s="383"/>
      <c r="H165" s="385"/>
      <c r="I165" s="385"/>
    </row>
    <row r="166" spans="1:9" x14ac:dyDescent="0.2">
      <c r="A166" s="383"/>
      <c r="B166" s="383"/>
      <c r="C166" s="385"/>
      <c r="D166" s="383"/>
      <c r="E166" s="385"/>
      <c r="F166" s="383"/>
      <c r="G166" s="383"/>
      <c r="H166" s="385"/>
      <c r="I166" s="385"/>
    </row>
    <row r="167" spans="1:9" x14ac:dyDescent="0.2">
      <c r="A167" s="383"/>
      <c r="B167" s="383"/>
      <c r="C167" s="385"/>
      <c r="D167" s="383"/>
      <c r="E167" s="385"/>
      <c r="F167" s="383"/>
      <c r="G167" s="383"/>
      <c r="H167" s="385"/>
      <c r="I167" s="385"/>
    </row>
    <row r="168" spans="1:9" x14ac:dyDescent="0.2">
      <c r="A168" s="383"/>
      <c r="B168" s="383"/>
      <c r="C168" s="385"/>
      <c r="D168" s="383"/>
      <c r="E168" s="385"/>
      <c r="F168" s="383"/>
      <c r="G168" s="383"/>
      <c r="H168" s="385"/>
      <c r="I168" s="385"/>
    </row>
    <row r="169" spans="1:9" x14ac:dyDescent="0.2">
      <c r="A169" s="383"/>
      <c r="B169" s="383"/>
      <c r="C169" s="385"/>
      <c r="D169" s="383"/>
      <c r="E169" s="385"/>
      <c r="F169" s="383"/>
      <c r="G169" s="383"/>
      <c r="H169" s="385"/>
      <c r="I169" s="385"/>
    </row>
    <row r="170" spans="1:9" x14ac:dyDescent="0.2">
      <c r="A170" s="383"/>
      <c r="B170" s="383"/>
      <c r="C170" s="385"/>
      <c r="D170" s="383"/>
      <c r="E170" s="385"/>
      <c r="F170" s="383"/>
      <c r="G170" s="383"/>
      <c r="H170" s="385"/>
      <c r="I170" s="385"/>
    </row>
    <row r="171" spans="1:9" x14ac:dyDescent="0.2">
      <c r="A171" s="383"/>
      <c r="B171" s="383"/>
      <c r="C171" s="385"/>
      <c r="D171" s="383"/>
      <c r="E171" s="385"/>
      <c r="F171" s="383"/>
      <c r="G171" s="383"/>
      <c r="H171" s="385"/>
      <c r="I171" s="385"/>
    </row>
    <row r="172" spans="1:9" x14ac:dyDescent="0.2">
      <c r="A172" s="383"/>
      <c r="B172" s="383"/>
      <c r="C172" s="385"/>
      <c r="D172" s="383"/>
      <c r="E172" s="385"/>
      <c r="F172" s="383"/>
      <c r="G172" s="383"/>
      <c r="H172" s="385"/>
      <c r="I172" s="385"/>
    </row>
    <row r="173" spans="1:9" x14ac:dyDescent="0.2">
      <c r="A173" s="383"/>
      <c r="B173" s="383"/>
      <c r="C173" s="385"/>
      <c r="D173" s="383"/>
      <c r="E173" s="385"/>
      <c r="F173" s="383"/>
      <c r="G173" s="383"/>
      <c r="H173" s="385"/>
      <c r="I173" s="385"/>
    </row>
    <row r="174" spans="1:9" x14ac:dyDescent="0.2">
      <c r="A174" s="383"/>
      <c r="B174" s="383"/>
      <c r="C174" s="385"/>
      <c r="D174" s="383"/>
      <c r="E174" s="385"/>
      <c r="F174" s="383"/>
      <c r="G174" s="383"/>
      <c r="H174" s="385"/>
      <c r="I174" s="385"/>
    </row>
    <row r="175" spans="1:9" x14ac:dyDescent="0.2">
      <c r="A175" s="383"/>
      <c r="B175" s="383"/>
      <c r="C175" s="385"/>
      <c r="D175" s="383"/>
      <c r="E175" s="385"/>
      <c r="F175" s="383"/>
      <c r="G175" s="383"/>
      <c r="H175" s="385"/>
      <c r="I175" s="385"/>
    </row>
    <row r="176" spans="1:9" x14ac:dyDescent="0.2">
      <c r="A176" s="383"/>
      <c r="B176" s="383"/>
      <c r="C176" s="385"/>
      <c r="D176" s="383"/>
      <c r="E176" s="385"/>
      <c r="F176" s="383"/>
      <c r="G176" s="383"/>
      <c r="H176" s="385"/>
      <c r="I176" s="385"/>
    </row>
    <row r="177" spans="1:9" x14ac:dyDescent="0.2">
      <c r="A177" s="383"/>
      <c r="B177" s="383"/>
      <c r="C177" s="385"/>
      <c r="D177" s="383"/>
      <c r="E177" s="385"/>
      <c r="F177" s="383"/>
      <c r="G177" s="383"/>
      <c r="H177" s="385"/>
      <c r="I177" s="385"/>
    </row>
    <row r="178" spans="1:9" x14ac:dyDescent="0.2">
      <c r="A178" s="383"/>
      <c r="B178" s="383"/>
      <c r="C178" s="385"/>
      <c r="D178" s="383"/>
      <c r="E178" s="385"/>
      <c r="F178" s="383"/>
      <c r="G178" s="383"/>
      <c r="H178" s="385"/>
      <c r="I178" s="385"/>
    </row>
    <row r="179" spans="1:9" x14ac:dyDescent="0.2">
      <c r="A179" s="383"/>
      <c r="B179" s="383"/>
      <c r="C179" s="385"/>
      <c r="D179" s="383"/>
      <c r="E179" s="385"/>
      <c r="F179" s="383"/>
      <c r="G179" s="383"/>
      <c r="H179" s="385"/>
      <c r="I179" s="385"/>
    </row>
    <row r="180" spans="1:9" x14ac:dyDescent="0.2">
      <c r="A180" s="383"/>
      <c r="B180" s="383"/>
      <c r="C180" s="385"/>
      <c r="D180" s="383"/>
      <c r="E180" s="385"/>
      <c r="F180" s="383"/>
      <c r="G180" s="383"/>
      <c r="H180" s="385"/>
      <c r="I180" s="385"/>
    </row>
    <row r="181" spans="1:9" x14ac:dyDescent="0.2">
      <c r="A181" s="383"/>
      <c r="B181" s="383"/>
      <c r="C181" s="385"/>
      <c r="D181" s="383"/>
      <c r="E181" s="385"/>
      <c r="F181" s="383"/>
      <c r="G181" s="383"/>
      <c r="H181" s="385"/>
      <c r="I181" s="385"/>
    </row>
    <row r="182" spans="1:9" x14ac:dyDescent="0.2">
      <c r="A182" s="383"/>
      <c r="B182" s="383"/>
      <c r="C182" s="385"/>
      <c r="D182" s="383"/>
      <c r="E182" s="385"/>
      <c r="F182" s="383"/>
      <c r="G182" s="383"/>
      <c r="H182" s="385"/>
      <c r="I182" s="385"/>
    </row>
    <row r="183" spans="1:9" x14ac:dyDescent="0.2">
      <c r="A183" s="383"/>
      <c r="B183" s="383"/>
      <c r="C183" s="385"/>
      <c r="D183" s="383"/>
      <c r="E183" s="385"/>
      <c r="F183" s="383"/>
      <c r="G183" s="383"/>
      <c r="H183" s="385"/>
      <c r="I183" s="385"/>
    </row>
    <row r="184" spans="1:9" x14ac:dyDescent="0.2">
      <c r="A184" s="383"/>
      <c r="B184" s="383"/>
      <c r="C184" s="385"/>
      <c r="D184" s="383"/>
      <c r="E184" s="385"/>
      <c r="F184" s="383"/>
      <c r="G184" s="383"/>
      <c r="H184" s="385"/>
      <c r="I184" s="385"/>
    </row>
    <row r="185" spans="1:9" x14ac:dyDescent="0.2">
      <c r="A185" s="383"/>
      <c r="B185" s="383"/>
      <c r="C185" s="385"/>
      <c r="D185" s="383"/>
      <c r="E185" s="385"/>
      <c r="F185" s="383"/>
      <c r="G185" s="383"/>
      <c r="H185" s="385"/>
      <c r="I185" s="385"/>
    </row>
    <row r="186" spans="1:9" x14ac:dyDescent="0.2">
      <c r="A186" s="383"/>
      <c r="B186" s="383"/>
      <c r="C186" s="385"/>
      <c r="D186" s="383"/>
      <c r="E186" s="385"/>
      <c r="F186" s="383"/>
      <c r="G186" s="383"/>
      <c r="H186" s="385"/>
      <c r="I186" s="385"/>
    </row>
    <row r="187" spans="1:9" x14ac:dyDescent="0.2">
      <c r="A187" s="383"/>
      <c r="B187" s="383"/>
      <c r="C187" s="385"/>
      <c r="D187" s="383"/>
      <c r="E187" s="385"/>
      <c r="F187" s="383"/>
      <c r="G187" s="383"/>
      <c r="H187" s="385"/>
      <c r="I187" s="385"/>
    </row>
    <row r="188" spans="1:9" x14ac:dyDescent="0.2">
      <c r="A188" s="383"/>
      <c r="B188" s="383"/>
      <c r="C188" s="385"/>
      <c r="D188" s="383"/>
      <c r="E188" s="385"/>
      <c r="F188" s="383"/>
      <c r="G188" s="383"/>
      <c r="H188" s="385"/>
      <c r="I188" s="385"/>
    </row>
    <row r="189" spans="1:9" x14ac:dyDescent="0.2">
      <c r="A189" s="383"/>
      <c r="B189" s="383"/>
      <c r="C189" s="385"/>
      <c r="D189" s="383"/>
      <c r="E189" s="385"/>
      <c r="F189" s="383"/>
      <c r="G189" s="383"/>
      <c r="H189" s="385"/>
      <c r="I189" s="385"/>
    </row>
    <row r="190" spans="1:9" x14ac:dyDescent="0.2">
      <c r="A190" s="383"/>
      <c r="B190" s="383"/>
      <c r="C190" s="385"/>
      <c r="D190" s="383"/>
      <c r="E190" s="385"/>
      <c r="F190" s="383"/>
      <c r="G190" s="383"/>
      <c r="H190" s="385"/>
      <c r="I190" s="385"/>
    </row>
    <row r="191" spans="1:9" x14ac:dyDescent="0.2">
      <c r="A191" s="383"/>
      <c r="B191" s="383"/>
      <c r="C191" s="385"/>
      <c r="D191" s="383"/>
      <c r="E191" s="385"/>
      <c r="F191" s="383"/>
      <c r="G191" s="383"/>
      <c r="H191" s="385"/>
      <c r="I191" s="385"/>
    </row>
    <row r="192" spans="1:9" x14ac:dyDescent="0.2">
      <c r="A192" s="383"/>
      <c r="B192" s="383"/>
      <c r="C192" s="385"/>
      <c r="D192" s="383"/>
      <c r="E192" s="385"/>
      <c r="F192" s="383"/>
      <c r="G192" s="383"/>
      <c r="H192" s="385"/>
      <c r="I192" s="385"/>
    </row>
    <row r="193" spans="1:9" x14ac:dyDescent="0.2">
      <c r="A193" s="383"/>
      <c r="B193" s="383"/>
      <c r="C193" s="385"/>
      <c r="D193" s="383"/>
      <c r="E193" s="385"/>
      <c r="F193" s="383"/>
      <c r="G193" s="383"/>
      <c r="H193" s="385"/>
      <c r="I193" s="385"/>
    </row>
    <row r="194" spans="1:9" x14ac:dyDescent="0.2">
      <c r="A194" s="383"/>
      <c r="B194" s="383"/>
      <c r="C194" s="385"/>
      <c r="D194" s="383"/>
      <c r="E194" s="385"/>
      <c r="F194" s="383"/>
      <c r="G194" s="383"/>
      <c r="H194" s="385"/>
      <c r="I194" s="385"/>
    </row>
    <row r="195" spans="1:9" x14ac:dyDescent="0.2">
      <c r="A195" s="383"/>
      <c r="B195" s="383"/>
      <c r="C195" s="385"/>
      <c r="D195" s="383"/>
      <c r="E195" s="385"/>
      <c r="F195" s="383"/>
      <c r="G195" s="383"/>
      <c r="H195" s="385"/>
      <c r="I195" s="385"/>
    </row>
    <row r="196" spans="1:9" x14ac:dyDescent="0.2">
      <c r="A196" s="383"/>
      <c r="B196" s="383"/>
      <c r="C196" s="385"/>
      <c r="D196" s="383"/>
      <c r="E196" s="385"/>
      <c r="F196" s="383"/>
      <c r="G196" s="383"/>
      <c r="H196" s="385"/>
      <c r="I196" s="385"/>
    </row>
    <row r="197" spans="1:9" x14ac:dyDescent="0.2">
      <c r="A197" s="383"/>
      <c r="B197" s="383"/>
      <c r="C197" s="385"/>
      <c r="D197" s="383"/>
      <c r="E197" s="385"/>
      <c r="F197" s="383"/>
      <c r="G197" s="383"/>
      <c r="H197" s="385"/>
      <c r="I197" s="385"/>
    </row>
    <row r="198" spans="1:9" x14ac:dyDescent="0.2">
      <c r="A198" s="383"/>
      <c r="B198" s="383"/>
      <c r="C198" s="385"/>
      <c r="D198" s="383"/>
      <c r="E198" s="385"/>
      <c r="F198" s="383"/>
      <c r="G198" s="383"/>
      <c r="H198" s="385"/>
      <c r="I198" s="385"/>
    </row>
    <row r="199" spans="1:9" x14ac:dyDescent="0.2">
      <c r="A199" s="383"/>
      <c r="B199" s="383"/>
      <c r="C199" s="385"/>
      <c r="D199" s="383"/>
      <c r="E199" s="385"/>
      <c r="F199" s="383"/>
      <c r="G199" s="383"/>
      <c r="H199" s="385"/>
      <c r="I199" s="385"/>
    </row>
    <row r="200" spans="1:9" x14ac:dyDescent="0.2">
      <c r="A200" s="383"/>
      <c r="B200" s="383"/>
      <c r="C200" s="385"/>
      <c r="D200" s="383"/>
      <c r="E200" s="385"/>
      <c r="F200" s="383"/>
      <c r="G200" s="383"/>
      <c r="H200" s="385"/>
      <c r="I200" s="385"/>
    </row>
    <row r="201" spans="1:9" ht="15" x14ac:dyDescent="0.25">
      <c r="A201" s="11" t="s">
        <v>1046</v>
      </c>
    </row>
    <row r="202" spans="1:9" ht="15" x14ac:dyDescent="0.25">
      <c r="A202" s="11" t="s">
        <v>511</v>
      </c>
    </row>
    <row r="203" spans="1:9" ht="15" x14ac:dyDescent="0.25">
      <c r="A203" s="11" t="s">
        <v>1047</v>
      </c>
    </row>
    <row r="204" spans="1:9" ht="15" x14ac:dyDescent="0.25">
      <c r="A204" s="11" t="s">
        <v>1376</v>
      </c>
    </row>
    <row r="205" spans="1:9" ht="15" x14ac:dyDescent="0.25">
      <c r="A205" s="11" t="s">
        <v>1303</v>
      </c>
    </row>
    <row r="206" spans="1:9" ht="15" x14ac:dyDescent="0.25">
      <c r="A206" s="11" t="s">
        <v>513</v>
      </c>
    </row>
    <row r="207" spans="1:9" ht="15" x14ac:dyDescent="0.25">
      <c r="A207" s="390"/>
    </row>
    <row r="208" spans="1:9" ht="15" x14ac:dyDescent="0.25">
      <c r="A208" s="11" t="s">
        <v>1048</v>
      </c>
    </row>
  </sheetData>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tabColor theme="0" tint="-0.249977111117893"/>
  </sheetPr>
  <dimension ref="A1:B108"/>
  <sheetViews>
    <sheetView showGridLines="0" showRowColHeaders="0" workbookViewId="0">
      <pane ySplit="1" topLeftCell="A17" activePane="bottomLeft" state="frozen"/>
      <selection pane="bottomLeft" activeCell="A3" sqref="A3"/>
    </sheetView>
  </sheetViews>
  <sheetFormatPr defaultRowHeight="15" x14ac:dyDescent="0.25"/>
  <cols>
    <col min="1" max="1" width="21" bestFit="1" customWidth="1"/>
    <col min="2" max="2" width="20.28515625" customWidth="1"/>
  </cols>
  <sheetData>
    <row r="1" spans="1:2" x14ac:dyDescent="0.25">
      <c r="A1" s="11" t="s">
        <v>4</v>
      </c>
      <c r="B1" s="11" t="s">
        <v>5</v>
      </c>
    </row>
    <row r="2" spans="1:2" x14ac:dyDescent="0.25">
      <c r="A2" s="52" t="s">
        <v>150</v>
      </c>
      <c r="B2" s="53">
        <v>0</v>
      </c>
    </row>
    <row r="3" spans="1:2" x14ac:dyDescent="0.25">
      <c r="A3" s="391" t="s">
        <v>1353</v>
      </c>
      <c r="B3" s="392">
        <v>14</v>
      </c>
    </row>
    <row r="4" spans="1:2" x14ac:dyDescent="0.25">
      <c r="A4" s="391" t="s">
        <v>6</v>
      </c>
      <c r="B4" s="392">
        <v>4.5999999999999996</v>
      </c>
    </row>
    <row r="5" spans="1:2" x14ac:dyDescent="0.25">
      <c r="A5" s="391" t="s">
        <v>948</v>
      </c>
      <c r="B5" s="392">
        <v>8.8000000000000007</v>
      </c>
    </row>
    <row r="6" spans="1:2" x14ac:dyDescent="0.25">
      <c r="A6" s="391" t="s">
        <v>1359</v>
      </c>
      <c r="B6" s="392">
        <v>20</v>
      </c>
    </row>
    <row r="7" spans="1:2" x14ac:dyDescent="0.25">
      <c r="A7" s="391" t="s">
        <v>1340</v>
      </c>
      <c r="B7" s="392">
        <v>10.8</v>
      </c>
    </row>
    <row r="8" spans="1:2" x14ac:dyDescent="0.25">
      <c r="A8" s="391" t="s">
        <v>951</v>
      </c>
      <c r="B8" s="392">
        <v>7.8</v>
      </c>
    </row>
    <row r="9" spans="1:2" x14ac:dyDescent="0.25">
      <c r="A9" s="391" t="s">
        <v>7</v>
      </c>
      <c r="B9" s="392">
        <v>14.2</v>
      </c>
    </row>
    <row r="10" spans="1:2" x14ac:dyDescent="0.25">
      <c r="A10" s="391" t="s">
        <v>8</v>
      </c>
      <c r="B10" s="392">
        <v>6.8</v>
      </c>
    </row>
    <row r="11" spans="1:2" x14ac:dyDescent="0.25">
      <c r="A11" s="391" t="s">
        <v>1343</v>
      </c>
      <c r="B11" s="392">
        <v>13</v>
      </c>
    </row>
    <row r="12" spans="1:2" x14ac:dyDescent="0.25">
      <c r="A12" s="391" t="s">
        <v>9</v>
      </c>
      <c r="B12" s="392">
        <v>7.2</v>
      </c>
    </row>
    <row r="13" spans="1:2" x14ac:dyDescent="0.25">
      <c r="A13" s="391" t="s">
        <v>235</v>
      </c>
      <c r="B13" s="392">
        <v>11.5</v>
      </c>
    </row>
    <row r="14" spans="1:2" x14ac:dyDescent="0.25">
      <c r="A14" s="391" t="s">
        <v>10</v>
      </c>
      <c r="B14" s="392">
        <v>8.9</v>
      </c>
    </row>
    <row r="15" spans="1:2" x14ac:dyDescent="0.25">
      <c r="A15" s="391" t="s">
        <v>11</v>
      </c>
      <c r="B15" s="392">
        <v>11.1</v>
      </c>
    </row>
    <row r="16" spans="1:2" x14ac:dyDescent="0.25">
      <c r="A16" s="391" t="s">
        <v>778</v>
      </c>
      <c r="B16" s="392">
        <v>12</v>
      </c>
    </row>
    <row r="17" spans="1:2" x14ac:dyDescent="0.25">
      <c r="A17" s="391" t="s">
        <v>12</v>
      </c>
      <c r="B17" s="392">
        <v>6.8</v>
      </c>
    </row>
    <row r="18" spans="1:2" x14ac:dyDescent="0.25">
      <c r="A18" s="391" t="s">
        <v>13</v>
      </c>
      <c r="B18" s="392">
        <v>17.7</v>
      </c>
    </row>
    <row r="19" spans="1:2" x14ac:dyDescent="0.25">
      <c r="A19" s="391" t="s">
        <v>14</v>
      </c>
      <c r="B19" s="392">
        <v>3.3</v>
      </c>
    </row>
    <row r="20" spans="1:2" x14ac:dyDescent="0.25">
      <c r="A20" s="391" t="s">
        <v>952</v>
      </c>
      <c r="B20" s="392">
        <v>15.3</v>
      </c>
    </row>
    <row r="21" spans="1:2" x14ac:dyDescent="0.25">
      <c r="A21" s="391" t="s">
        <v>1346</v>
      </c>
      <c r="B21" s="392">
        <v>15</v>
      </c>
    </row>
    <row r="22" spans="1:2" x14ac:dyDescent="0.25">
      <c r="A22" s="391" t="s">
        <v>953</v>
      </c>
      <c r="B22" s="392">
        <v>10.8</v>
      </c>
    </row>
    <row r="23" spans="1:2" x14ac:dyDescent="0.25">
      <c r="A23" s="391" t="s">
        <v>1360</v>
      </c>
      <c r="B23" s="392">
        <v>10</v>
      </c>
    </row>
    <row r="24" spans="1:2" x14ac:dyDescent="0.25">
      <c r="A24" s="391" t="s">
        <v>1365</v>
      </c>
      <c r="B24" s="392">
        <v>7.5</v>
      </c>
    </row>
    <row r="25" spans="1:2" x14ac:dyDescent="0.25">
      <c r="A25" s="391" t="s">
        <v>1350</v>
      </c>
      <c r="B25" s="392">
        <v>4.9000000000000004</v>
      </c>
    </row>
    <row r="26" spans="1:2" x14ac:dyDescent="0.25">
      <c r="A26" s="391" t="s">
        <v>1349</v>
      </c>
      <c r="B26" s="392">
        <v>5</v>
      </c>
    </row>
    <row r="27" spans="1:2" x14ac:dyDescent="0.25">
      <c r="A27" s="391" t="s">
        <v>1358</v>
      </c>
      <c r="B27" s="392">
        <v>13</v>
      </c>
    </row>
    <row r="28" spans="1:2" x14ac:dyDescent="0.25">
      <c r="A28" s="391" t="s">
        <v>15</v>
      </c>
      <c r="B28" s="392">
        <v>13</v>
      </c>
    </row>
    <row r="29" spans="1:2" x14ac:dyDescent="0.25">
      <c r="A29" s="391" t="s">
        <v>16</v>
      </c>
      <c r="B29" s="392">
        <v>5.7</v>
      </c>
    </row>
    <row r="30" spans="1:2" x14ac:dyDescent="0.25">
      <c r="A30" s="391" t="s">
        <v>1370</v>
      </c>
      <c r="B30" s="392">
        <v>5</v>
      </c>
    </row>
    <row r="31" spans="1:2" x14ac:dyDescent="0.25">
      <c r="A31" s="391" t="s">
        <v>17</v>
      </c>
      <c r="B31" s="392">
        <v>12.8</v>
      </c>
    </row>
    <row r="32" spans="1:2" x14ac:dyDescent="0.25">
      <c r="A32" s="391" t="s">
        <v>18</v>
      </c>
      <c r="B32" s="392">
        <v>2.7</v>
      </c>
    </row>
    <row r="33" spans="1:2" x14ac:dyDescent="0.25">
      <c r="A33" s="391" t="s">
        <v>1341</v>
      </c>
      <c r="B33" s="392">
        <v>16</v>
      </c>
    </row>
    <row r="34" spans="1:2" x14ac:dyDescent="0.25">
      <c r="A34" s="391" t="s">
        <v>46</v>
      </c>
      <c r="B34" s="392">
        <v>5.6</v>
      </c>
    </row>
    <row r="35" spans="1:2" x14ac:dyDescent="0.25">
      <c r="A35" s="391" t="s">
        <v>1342</v>
      </c>
      <c r="B35" s="392">
        <v>15</v>
      </c>
    </row>
    <row r="36" spans="1:2" x14ac:dyDescent="0.25">
      <c r="A36" s="391" t="s">
        <v>19</v>
      </c>
      <c r="B36" s="392">
        <v>3.9</v>
      </c>
    </row>
    <row r="37" spans="1:2" x14ac:dyDescent="0.25">
      <c r="A37" s="391" t="s">
        <v>20</v>
      </c>
      <c r="B37" s="392">
        <v>12.2</v>
      </c>
    </row>
    <row r="38" spans="1:2" x14ac:dyDescent="0.25">
      <c r="A38" s="391" t="s">
        <v>1354</v>
      </c>
      <c r="B38" s="392">
        <v>7</v>
      </c>
    </row>
    <row r="39" spans="1:2" x14ac:dyDescent="0.25">
      <c r="A39" s="391" t="s">
        <v>1344</v>
      </c>
      <c r="B39" s="392">
        <v>15</v>
      </c>
    </row>
    <row r="40" spans="1:2" x14ac:dyDescent="0.25">
      <c r="A40" s="391" t="s">
        <v>21</v>
      </c>
      <c r="B40" s="392">
        <v>7.2</v>
      </c>
    </row>
    <row r="41" spans="1:2" x14ac:dyDescent="0.25">
      <c r="A41" s="391" t="s">
        <v>954</v>
      </c>
      <c r="B41" s="392">
        <v>7.3</v>
      </c>
    </row>
    <row r="42" spans="1:2" x14ac:dyDescent="0.25">
      <c r="A42" s="391" t="s">
        <v>1339</v>
      </c>
      <c r="B42" s="392">
        <v>6</v>
      </c>
    </row>
    <row r="43" spans="1:2" x14ac:dyDescent="0.25">
      <c r="A43" s="391" t="s">
        <v>22</v>
      </c>
      <c r="B43" s="392">
        <v>4.9000000000000004</v>
      </c>
    </row>
    <row r="44" spans="1:2" x14ac:dyDescent="0.25">
      <c r="A44" s="391" t="s">
        <v>23</v>
      </c>
      <c r="B44" s="392">
        <v>14.7</v>
      </c>
    </row>
    <row r="45" spans="1:2" x14ac:dyDescent="0.25">
      <c r="A45" s="391" t="s">
        <v>1348</v>
      </c>
      <c r="B45" s="392">
        <v>14</v>
      </c>
    </row>
    <row r="46" spans="1:2" x14ac:dyDescent="0.25">
      <c r="A46" s="391" t="s">
        <v>1099</v>
      </c>
      <c r="B46" s="392">
        <v>4.5</v>
      </c>
    </row>
    <row r="47" spans="1:2" x14ac:dyDescent="0.25">
      <c r="A47" s="391" t="s">
        <v>24</v>
      </c>
      <c r="B47" s="392">
        <v>16.600000000000001</v>
      </c>
    </row>
    <row r="48" spans="1:2" x14ac:dyDescent="0.25">
      <c r="A48" s="391" t="s">
        <v>779</v>
      </c>
      <c r="B48" s="392">
        <v>12</v>
      </c>
    </row>
    <row r="49" spans="1:2" x14ac:dyDescent="0.25">
      <c r="A49" s="391" t="s">
        <v>949</v>
      </c>
      <c r="B49" s="392">
        <v>7.7</v>
      </c>
    </row>
    <row r="50" spans="1:2" x14ac:dyDescent="0.25">
      <c r="A50" s="391" t="s">
        <v>25</v>
      </c>
      <c r="B50" s="392">
        <v>5.8</v>
      </c>
    </row>
    <row r="51" spans="1:2" x14ac:dyDescent="0.25">
      <c r="A51" s="391" t="s">
        <v>26</v>
      </c>
      <c r="B51" s="392">
        <v>12.5</v>
      </c>
    </row>
    <row r="52" spans="1:2" x14ac:dyDescent="0.25">
      <c r="A52" s="391" t="s">
        <v>1368</v>
      </c>
      <c r="B52" s="392">
        <v>13</v>
      </c>
    </row>
    <row r="53" spans="1:2" x14ac:dyDescent="0.25">
      <c r="A53" s="391" t="s">
        <v>1362</v>
      </c>
      <c r="B53" s="392">
        <v>8.5</v>
      </c>
    </row>
    <row r="54" spans="1:2" x14ac:dyDescent="0.25">
      <c r="A54" s="391" t="s">
        <v>27</v>
      </c>
      <c r="B54" s="392">
        <v>10.5</v>
      </c>
    </row>
    <row r="55" spans="1:2" x14ac:dyDescent="0.25">
      <c r="A55" s="391" t="s">
        <v>28</v>
      </c>
      <c r="B55" s="392">
        <v>14.5</v>
      </c>
    </row>
    <row r="56" spans="1:2" x14ac:dyDescent="0.25">
      <c r="A56" s="391" t="s">
        <v>1352</v>
      </c>
      <c r="B56" s="392">
        <v>6.5</v>
      </c>
    </row>
    <row r="57" spans="1:2" x14ac:dyDescent="0.25">
      <c r="A57" s="391" t="s">
        <v>955</v>
      </c>
      <c r="B57" s="392">
        <v>14</v>
      </c>
    </row>
    <row r="58" spans="1:2" x14ac:dyDescent="0.25">
      <c r="A58" s="391" t="s">
        <v>29</v>
      </c>
      <c r="B58" s="392">
        <v>13.7</v>
      </c>
    </row>
    <row r="59" spans="1:2" x14ac:dyDescent="0.25">
      <c r="A59" s="391" t="s">
        <v>30</v>
      </c>
      <c r="B59" s="392">
        <v>5.8</v>
      </c>
    </row>
    <row r="60" spans="1:2" x14ac:dyDescent="0.25">
      <c r="A60" s="391" t="s">
        <v>1347</v>
      </c>
      <c r="B60" s="392">
        <v>7.9</v>
      </c>
    </row>
    <row r="61" spans="1:2" x14ac:dyDescent="0.25">
      <c r="A61" s="391" t="s">
        <v>31</v>
      </c>
      <c r="B61" s="392">
        <v>6.3</v>
      </c>
    </row>
    <row r="62" spans="1:2" x14ac:dyDescent="0.25">
      <c r="A62" s="391" t="s">
        <v>1351</v>
      </c>
      <c r="B62" s="392">
        <v>8</v>
      </c>
    </row>
    <row r="63" spans="1:2" x14ac:dyDescent="0.25">
      <c r="A63" s="391" t="s">
        <v>1355</v>
      </c>
      <c r="B63" s="392">
        <v>20</v>
      </c>
    </row>
    <row r="64" spans="1:2" x14ac:dyDescent="0.25">
      <c r="A64" s="391" t="s">
        <v>47</v>
      </c>
      <c r="B64" s="392">
        <v>9</v>
      </c>
    </row>
    <row r="65" spans="1:2" x14ac:dyDescent="0.25">
      <c r="A65" s="391" t="s">
        <v>1364</v>
      </c>
      <c r="B65" s="392">
        <v>6</v>
      </c>
    </row>
    <row r="66" spans="1:2" x14ac:dyDescent="0.25">
      <c r="A66" s="391" t="s">
        <v>32</v>
      </c>
      <c r="B66" s="392">
        <v>3.2</v>
      </c>
    </row>
    <row r="67" spans="1:2" x14ac:dyDescent="0.25">
      <c r="A67" s="391" t="s">
        <v>33</v>
      </c>
      <c r="B67" s="392">
        <v>5.2</v>
      </c>
    </row>
    <row r="68" spans="1:2" x14ac:dyDescent="0.25">
      <c r="A68" s="391" t="s">
        <v>1366</v>
      </c>
      <c r="B68" s="392">
        <v>6</v>
      </c>
    </row>
    <row r="69" spans="1:2" x14ac:dyDescent="0.25">
      <c r="A69" s="391" t="s">
        <v>34</v>
      </c>
      <c r="B69" s="392">
        <v>3.7</v>
      </c>
    </row>
    <row r="70" spans="1:2" x14ac:dyDescent="0.25">
      <c r="A70" s="391" t="s">
        <v>35</v>
      </c>
      <c r="B70" s="392">
        <v>4.9000000000000004</v>
      </c>
    </row>
    <row r="71" spans="1:2" x14ac:dyDescent="0.25">
      <c r="A71" s="391" t="s">
        <v>234</v>
      </c>
      <c r="B71" s="392">
        <v>13</v>
      </c>
    </row>
    <row r="72" spans="1:2" x14ac:dyDescent="0.25">
      <c r="A72" s="391" t="s">
        <v>956</v>
      </c>
      <c r="B72" s="392">
        <v>11.9</v>
      </c>
    </row>
    <row r="73" spans="1:2" x14ac:dyDescent="0.25">
      <c r="A73" s="391" t="s">
        <v>36</v>
      </c>
      <c r="B73" s="392">
        <v>4.8</v>
      </c>
    </row>
    <row r="74" spans="1:2" x14ac:dyDescent="0.25">
      <c r="A74" s="391" t="s">
        <v>48</v>
      </c>
      <c r="B74" s="392">
        <v>15</v>
      </c>
    </row>
    <row r="75" spans="1:2" x14ac:dyDescent="0.25">
      <c r="A75" s="391" t="s">
        <v>37</v>
      </c>
      <c r="B75" s="392">
        <v>4</v>
      </c>
    </row>
    <row r="76" spans="1:2" x14ac:dyDescent="0.25">
      <c r="A76" s="391" t="s">
        <v>1369</v>
      </c>
      <c r="B76" s="392">
        <v>3</v>
      </c>
    </row>
    <row r="77" spans="1:2" x14ac:dyDescent="0.25">
      <c r="A77" s="391" t="s">
        <v>1367</v>
      </c>
      <c r="B77" s="392">
        <v>9</v>
      </c>
    </row>
    <row r="78" spans="1:2" x14ac:dyDescent="0.25">
      <c r="A78" s="391" t="s">
        <v>38</v>
      </c>
      <c r="B78" s="392">
        <v>3.9</v>
      </c>
    </row>
    <row r="79" spans="1:2" x14ac:dyDescent="0.25">
      <c r="A79" s="391" t="s">
        <v>39</v>
      </c>
      <c r="B79" s="392">
        <v>3.2</v>
      </c>
    </row>
    <row r="80" spans="1:2" x14ac:dyDescent="0.25">
      <c r="A80" s="391" t="s">
        <v>40</v>
      </c>
      <c r="B80" s="392">
        <v>16.100000000000001</v>
      </c>
    </row>
    <row r="81" spans="1:2" x14ac:dyDescent="0.25">
      <c r="A81" s="391" t="s">
        <v>41</v>
      </c>
      <c r="B81" s="392">
        <v>12.8</v>
      </c>
    </row>
    <row r="82" spans="1:2" x14ac:dyDescent="0.25">
      <c r="A82" s="391" t="s">
        <v>49</v>
      </c>
      <c r="B82" s="392">
        <v>14</v>
      </c>
    </row>
    <row r="83" spans="1:2" x14ac:dyDescent="0.25">
      <c r="A83" s="391" t="s">
        <v>42</v>
      </c>
      <c r="B83" s="392">
        <v>11.1</v>
      </c>
    </row>
    <row r="84" spans="1:2" x14ac:dyDescent="0.25">
      <c r="A84" s="391" t="s">
        <v>43</v>
      </c>
      <c r="B84" s="392">
        <v>4.7</v>
      </c>
    </row>
    <row r="85" spans="1:2" x14ac:dyDescent="0.25">
      <c r="A85" s="391" t="s">
        <v>1356</v>
      </c>
      <c r="B85" s="392">
        <v>16.5</v>
      </c>
    </row>
    <row r="86" spans="1:2" x14ac:dyDescent="0.25">
      <c r="A86" s="391" t="s">
        <v>1363</v>
      </c>
      <c r="B86" s="392">
        <v>6</v>
      </c>
    </row>
    <row r="87" spans="1:2" x14ac:dyDescent="0.25">
      <c r="A87" s="391" t="s">
        <v>1371</v>
      </c>
      <c r="B87" s="392">
        <v>6</v>
      </c>
    </row>
    <row r="88" spans="1:2" x14ac:dyDescent="0.25">
      <c r="A88" s="391" t="s">
        <v>1345</v>
      </c>
      <c r="B88" s="392">
        <v>17</v>
      </c>
    </row>
    <row r="89" spans="1:2" x14ac:dyDescent="0.25">
      <c r="A89" s="391" t="s">
        <v>1357</v>
      </c>
      <c r="B89" s="392">
        <v>7</v>
      </c>
    </row>
    <row r="90" spans="1:2" x14ac:dyDescent="0.25">
      <c r="A90" s="391" t="s">
        <v>44</v>
      </c>
      <c r="B90" s="392">
        <v>15.4</v>
      </c>
    </row>
    <row r="91" spans="1:2" x14ac:dyDescent="0.25">
      <c r="A91" s="391" t="s">
        <v>1361</v>
      </c>
      <c r="B91" s="392">
        <v>6.5</v>
      </c>
    </row>
    <row r="92" spans="1:2" x14ac:dyDescent="0.25">
      <c r="A92" s="391" t="s">
        <v>45</v>
      </c>
      <c r="B92" s="392">
        <v>5.0999999999999996</v>
      </c>
    </row>
    <row r="93" spans="1:2" x14ac:dyDescent="0.25">
      <c r="A93" s="391" t="s">
        <v>950</v>
      </c>
      <c r="B93" s="392">
        <v>9.4</v>
      </c>
    </row>
    <row r="94" spans="1:2" x14ac:dyDescent="0.25">
      <c r="A94" s="391"/>
      <c r="B94" s="392"/>
    </row>
    <row r="95" spans="1:2" x14ac:dyDescent="0.25">
      <c r="A95" s="391"/>
      <c r="B95" s="392"/>
    </row>
    <row r="96" spans="1:2" x14ac:dyDescent="0.25">
      <c r="A96" s="391"/>
      <c r="B96" s="392"/>
    </row>
    <row r="97" spans="1:2" x14ac:dyDescent="0.25">
      <c r="A97" s="391"/>
      <c r="B97" s="392"/>
    </row>
    <row r="98" spans="1:2" x14ac:dyDescent="0.25">
      <c r="A98" s="391"/>
      <c r="B98" s="392"/>
    </row>
    <row r="99" spans="1:2" x14ac:dyDescent="0.25">
      <c r="A99" s="391"/>
      <c r="B99" s="392"/>
    </row>
    <row r="100" spans="1:2" x14ac:dyDescent="0.25">
      <c r="A100" s="391"/>
      <c r="B100" s="392"/>
    </row>
    <row r="101" spans="1:2" x14ac:dyDescent="0.25">
      <c r="A101" s="11" t="s">
        <v>1051</v>
      </c>
    </row>
    <row r="102" spans="1:2" x14ac:dyDescent="0.25">
      <c r="A102" s="11" t="s">
        <v>511</v>
      </c>
    </row>
    <row r="103" spans="1:2" x14ac:dyDescent="0.25">
      <c r="A103" s="11" t="s">
        <v>1047</v>
      </c>
    </row>
    <row r="104" spans="1:2" x14ac:dyDescent="0.25">
      <c r="A104" s="11" t="s">
        <v>514</v>
      </c>
    </row>
    <row r="105" spans="1:2" x14ac:dyDescent="0.25">
      <c r="A105" s="11" t="s">
        <v>512</v>
      </c>
    </row>
    <row r="106" spans="1:2" x14ac:dyDescent="0.25">
      <c r="A106" s="11" t="s">
        <v>513</v>
      </c>
    </row>
    <row r="107" spans="1:2" x14ac:dyDescent="0.25">
      <c r="A107" s="71"/>
    </row>
    <row r="108" spans="1:2" x14ac:dyDescent="0.25">
      <c r="A108" s="11" t="s">
        <v>1049</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theme="0" tint="-0.249977111117893"/>
  </sheetPr>
  <dimension ref="A1:J131"/>
  <sheetViews>
    <sheetView showGridLines="0" showRowColHeaders="0" workbookViewId="0">
      <pane ySplit="1" topLeftCell="A62" activePane="bottomLeft" state="frozen"/>
      <selection pane="bottomLeft" activeCell="A98" sqref="A98"/>
    </sheetView>
  </sheetViews>
  <sheetFormatPr defaultRowHeight="12.75" x14ac:dyDescent="0.2"/>
  <cols>
    <col min="1" max="1" width="36.28515625" style="14" customWidth="1"/>
    <col min="2" max="6" width="9.140625" style="14"/>
    <col min="7" max="7" width="27.28515625" style="14" customWidth="1"/>
    <col min="8" max="16384" width="9.140625" style="14"/>
  </cols>
  <sheetData>
    <row r="1" spans="1:6" x14ac:dyDescent="0.2">
      <c r="A1" s="421" t="s">
        <v>121</v>
      </c>
      <c r="B1" s="422" t="s">
        <v>1304</v>
      </c>
      <c r="C1" s="422" t="s">
        <v>353</v>
      </c>
    </row>
    <row r="2" spans="1:6" x14ac:dyDescent="0.2">
      <c r="A2" s="389" t="s">
        <v>846</v>
      </c>
      <c r="B2" s="389">
        <v>75.099999999999994</v>
      </c>
      <c r="C2" s="393" t="s">
        <v>285</v>
      </c>
      <c r="E2" s="16"/>
      <c r="F2" s="317"/>
    </row>
    <row r="3" spans="1:6" x14ac:dyDescent="0.2">
      <c r="A3" s="389" t="s">
        <v>847</v>
      </c>
      <c r="B3" s="389">
        <v>75.2</v>
      </c>
      <c r="C3" s="393" t="s">
        <v>285</v>
      </c>
      <c r="D3" s="16"/>
      <c r="E3" s="16"/>
      <c r="F3" s="317"/>
    </row>
    <row r="4" spans="1:6" x14ac:dyDescent="0.2">
      <c r="A4" s="389" t="s">
        <v>848</v>
      </c>
      <c r="B4" s="389">
        <v>77.400000000000006</v>
      </c>
      <c r="C4" s="393" t="s">
        <v>285</v>
      </c>
      <c r="E4" s="16"/>
      <c r="F4" s="317"/>
    </row>
    <row r="5" spans="1:6" x14ac:dyDescent="0.2">
      <c r="A5" s="389" t="s">
        <v>849</v>
      </c>
      <c r="B5" s="389">
        <v>77.3</v>
      </c>
      <c r="C5" s="393" t="s">
        <v>285</v>
      </c>
      <c r="E5" s="16"/>
      <c r="F5" s="317"/>
    </row>
    <row r="6" spans="1:6" x14ac:dyDescent="0.2">
      <c r="A6" s="389" t="s">
        <v>850</v>
      </c>
      <c r="B6" s="389">
        <v>77.3</v>
      </c>
      <c r="C6" s="393" t="s">
        <v>285</v>
      </c>
      <c r="E6" s="16"/>
      <c r="F6" s="317"/>
    </row>
    <row r="7" spans="1:6" x14ac:dyDescent="0.2">
      <c r="A7" s="389" t="s">
        <v>851</v>
      </c>
      <c r="B7" s="389">
        <v>77.7</v>
      </c>
      <c r="C7" s="393" t="s">
        <v>285</v>
      </c>
      <c r="F7" s="317"/>
    </row>
    <row r="8" spans="1:6" x14ac:dyDescent="0.2">
      <c r="A8" s="389" t="s">
        <v>852</v>
      </c>
      <c r="B8" s="389">
        <v>76.7</v>
      </c>
      <c r="C8" s="393" t="s">
        <v>285</v>
      </c>
      <c r="F8" s="317"/>
    </row>
    <row r="9" spans="1:6" x14ac:dyDescent="0.2">
      <c r="A9" s="389" t="s">
        <v>853</v>
      </c>
      <c r="B9" s="389">
        <v>78.599999999999994</v>
      </c>
      <c r="C9" s="393" t="s">
        <v>285</v>
      </c>
      <c r="F9" s="317"/>
    </row>
    <row r="10" spans="1:6" x14ac:dyDescent="0.2">
      <c r="A10" s="389" t="s">
        <v>854</v>
      </c>
      <c r="B10" s="389">
        <v>73.8</v>
      </c>
      <c r="C10" s="393" t="s">
        <v>285</v>
      </c>
      <c r="F10" s="317"/>
    </row>
    <row r="11" spans="1:6" x14ac:dyDescent="0.2">
      <c r="A11" s="389" t="s">
        <v>855</v>
      </c>
      <c r="B11" s="389">
        <v>77.7</v>
      </c>
      <c r="C11" s="393" t="s">
        <v>285</v>
      </c>
      <c r="F11" s="317"/>
    </row>
    <row r="12" spans="1:6" x14ac:dyDescent="0.2">
      <c r="A12" s="389" t="s">
        <v>856</v>
      </c>
      <c r="B12" s="389">
        <v>75.7</v>
      </c>
      <c r="C12" s="393" t="s">
        <v>285</v>
      </c>
      <c r="F12" s="317"/>
    </row>
    <row r="13" spans="1:6" x14ac:dyDescent="0.2">
      <c r="A13" s="389" t="s">
        <v>857</v>
      </c>
      <c r="B13" s="389">
        <v>77.7</v>
      </c>
      <c r="C13" s="393" t="s">
        <v>285</v>
      </c>
      <c r="F13" s="317"/>
    </row>
    <row r="14" spans="1:6" x14ac:dyDescent="0.2">
      <c r="A14" s="389" t="s">
        <v>858</v>
      </c>
      <c r="B14" s="389">
        <v>78.099999999999994</v>
      </c>
      <c r="C14" s="393" t="s">
        <v>285</v>
      </c>
      <c r="F14" s="317"/>
    </row>
    <row r="15" spans="1:6" x14ac:dyDescent="0.2">
      <c r="A15" s="389" t="s">
        <v>859</v>
      </c>
      <c r="B15" s="389">
        <v>77.2</v>
      </c>
      <c r="C15" s="393" t="s">
        <v>285</v>
      </c>
      <c r="F15" s="317"/>
    </row>
    <row r="16" spans="1:6" x14ac:dyDescent="0.2">
      <c r="A16" s="389" t="s">
        <v>860</v>
      </c>
      <c r="B16" s="389">
        <v>77.400000000000006</v>
      </c>
      <c r="C16" s="393" t="s">
        <v>285</v>
      </c>
      <c r="F16" s="317"/>
    </row>
    <row r="17" spans="1:6" x14ac:dyDescent="0.2">
      <c r="A17" s="389" t="s">
        <v>861</v>
      </c>
      <c r="B17" s="389">
        <v>77.7</v>
      </c>
      <c r="C17" s="393" t="s">
        <v>285</v>
      </c>
      <c r="F17" s="317"/>
    </row>
    <row r="18" spans="1:6" x14ac:dyDescent="0.2">
      <c r="A18" s="389" t="s">
        <v>862</v>
      </c>
      <c r="B18" s="389">
        <v>78</v>
      </c>
      <c r="C18" s="393" t="s">
        <v>285</v>
      </c>
      <c r="F18" s="317"/>
    </row>
    <row r="19" spans="1:6" x14ac:dyDescent="0.2">
      <c r="A19" s="389" t="s">
        <v>863</v>
      </c>
      <c r="B19" s="389">
        <v>77.400000000000006</v>
      </c>
      <c r="C19" s="393" t="s">
        <v>285</v>
      </c>
      <c r="F19" s="317"/>
    </row>
    <row r="20" spans="1:6" x14ac:dyDescent="0.2">
      <c r="A20" s="389" t="s">
        <v>864</v>
      </c>
      <c r="B20" s="389">
        <v>79.400000000000006</v>
      </c>
      <c r="C20" s="393" t="s">
        <v>285</v>
      </c>
      <c r="F20" s="317"/>
    </row>
    <row r="21" spans="1:6" x14ac:dyDescent="0.2">
      <c r="A21" s="389" t="s">
        <v>865</v>
      </c>
      <c r="B21" s="389">
        <v>77.8</v>
      </c>
      <c r="C21" s="393" t="s">
        <v>285</v>
      </c>
      <c r="F21" s="317"/>
    </row>
    <row r="22" spans="1:6" x14ac:dyDescent="0.2">
      <c r="A22" s="389" t="s">
        <v>866</v>
      </c>
      <c r="B22" s="389">
        <v>76</v>
      </c>
      <c r="C22" s="393" t="s">
        <v>285</v>
      </c>
      <c r="F22" s="317"/>
    </row>
    <row r="23" spans="1:6" x14ac:dyDescent="0.2">
      <c r="A23" s="389" t="s">
        <v>867</v>
      </c>
      <c r="B23" s="389">
        <v>76.8</v>
      </c>
      <c r="C23" s="393" t="s">
        <v>286</v>
      </c>
      <c r="F23" s="317"/>
    </row>
    <row r="24" spans="1:6" x14ac:dyDescent="0.2">
      <c r="A24" s="389" t="s">
        <v>868</v>
      </c>
      <c r="B24" s="389">
        <v>76.3</v>
      </c>
      <c r="C24" s="393" t="s">
        <v>286</v>
      </c>
      <c r="F24" s="317"/>
    </row>
    <row r="25" spans="1:6" x14ac:dyDescent="0.2">
      <c r="A25" s="389" t="s">
        <v>869</v>
      </c>
      <c r="B25" s="389">
        <v>75.099999999999994</v>
      </c>
      <c r="C25" s="393" t="s">
        <v>286</v>
      </c>
      <c r="F25" s="317"/>
    </row>
    <row r="26" spans="1:6" x14ac:dyDescent="0.2">
      <c r="A26" s="389" t="s">
        <v>870</v>
      </c>
      <c r="B26" s="389">
        <v>75.400000000000006</v>
      </c>
      <c r="C26" s="393" t="s">
        <v>286</v>
      </c>
      <c r="F26" s="317"/>
    </row>
    <row r="27" spans="1:6" x14ac:dyDescent="0.2">
      <c r="A27" s="389" t="s">
        <v>871</v>
      </c>
      <c r="B27" s="389">
        <v>74.7</v>
      </c>
      <c r="C27" s="393" t="s">
        <v>286</v>
      </c>
      <c r="F27" s="317"/>
    </row>
    <row r="28" spans="1:6" x14ac:dyDescent="0.2">
      <c r="A28" s="389" t="s">
        <v>872</v>
      </c>
      <c r="B28" s="389">
        <v>74.8</v>
      </c>
      <c r="C28" s="393" t="s">
        <v>287</v>
      </c>
      <c r="F28" s="317"/>
    </row>
    <row r="29" spans="1:6" x14ac:dyDescent="0.2">
      <c r="A29" s="389" t="s">
        <v>873</v>
      </c>
      <c r="B29" s="389">
        <v>76.400000000000006</v>
      </c>
      <c r="C29" s="393" t="s">
        <v>286</v>
      </c>
      <c r="F29" s="317"/>
    </row>
    <row r="30" spans="1:6" x14ac:dyDescent="0.2">
      <c r="A30" s="389" t="s">
        <v>874</v>
      </c>
      <c r="B30" s="389">
        <v>76.900000000000006</v>
      </c>
      <c r="C30" s="393" t="s">
        <v>286</v>
      </c>
      <c r="F30" s="317"/>
    </row>
    <row r="31" spans="1:6" x14ac:dyDescent="0.2">
      <c r="A31" s="389" t="s">
        <v>875</v>
      </c>
      <c r="B31" s="389">
        <v>75.7</v>
      </c>
      <c r="C31" s="393" t="s">
        <v>286</v>
      </c>
      <c r="F31" s="317"/>
    </row>
    <row r="32" spans="1:6" x14ac:dyDescent="0.2">
      <c r="A32" s="389" t="s">
        <v>876</v>
      </c>
      <c r="B32" s="389">
        <v>75.900000000000006</v>
      </c>
      <c r="C32" s="393" t="s">
        <v>286</v>
      </c>
      <c r="F32" s="317"/>
    </row>
    <row r="33" spans="1:6" x14ac:dyDescent="0.2">
      <c r="A33" s="389" t="s">
        <v>877</v>
      </c>
      <c r="B33" s="389">
        <v>75.3</v>
      </c>
      <c r="C33" s="393" t="s">
        <v>286</v>
      </c>
      <c r="F33" s="317"/>
    </row>
    <row r="34" spans="1:6" x14ac:dyDescent="0.2">
      <c r="A34" s="389" t="s">
        <v>878</v>
      </c>
      <c r="B34" s="389">
        <v>75.599999999999994</v>
      </c>
      <c r="C34" s="393" t="s">
        <v>286</v>
      </c>
      <c r="F34" s="317"/>
    </row>
    <row r="35" spans="1:6" x14ac:dyDescent="0.2">
      <c r="A35" s="389" t="s">
        <v>879</v>
      </c>
      <c r="B35" s="389">
        <v>77.3</v>
      </c>
      <c r="C35" s="393" t="s">
        <v>287</v>
      </c>
      <c r="F35" s="317"/>
    </row>
    <row r="36" spans="1:6" x14ac:dyDescent="0.2">
      <c r="A36" s="389" t="s">
        <v>880</v>
      </c>
      <c r="B36" s="389">
        <v>77.3</v>
      </c>
      <c r="C36" s="393" t="s">
        <v>287</v>
      </c>
      <c r="F36" s="317"/>
    </row>
    <row r="37" spans="1:6" x14ac:dyDescent="0.2">
      <c r="A37" s="389" t="s">
        <v>881</v>
      </c>
      <c r="B37" s="389">
        <v>76.599999999999994</v>
      </c>
      <c r="C37" s="393" t="s">
        <v>285</v>
      </c>
      <c r="F37" s="317"/>
    </row>
    <row r="38" spans="1:6" x14ac:dyDescent="0.2">
      <c r="A38" s="389" t="s">
        <v>882</v>
      </c>
      <c r="B38" s="389">
        <v>75.5</v>
      </c>
      <c r="C38" s="393" t="s">
        <v>285</v>
      </c>
      <c r="F38" s="317"/>
    </row>
    <row r="39" spans="1:6" x14ac:dyDescent="0.2">
      <c r="A39" s="389" t="s">
        <v>883</v>
      </c>
      <c r="B39" s="389">
        <v>78.400000000000006</v>
      </c>
      <c r="C39" s="393" t="s">
        <v>285</v>
      </c>
      <c r="F39" s="317"/>
    </row>
    <row r="40" spans="1:6" x14ac:dyDescent="0.2">
      <c r="A40" s="389" t="s">
        <v>884</v>
      </c>
      <c r="B40" s="389">
        <v>77.099999999999994</v>
      </c>
      <c r="C40" s="393" t="s">
        <v>285</v>
      </c>
      <c r="F40" s="317"/>
    </row>
    <row r="41" spans="1:6" x14ac:dyDescent="0.2">
      <c r="A41" s="389" t="s">
        <v>885</v>
      </c>
      <c r="B41" s="389">
        <v>76.400000000000006</v>
      </c>
      <c r="C41" s="393" t="s">
        <v>285</v>
      </c>
      <c r="F41" s="317"/>
    </row>
    <row r="42" spans="1:6" x14ac:dyDescent="0.2">
      <c r="A42" s="389" t="s">
        <v>886</v>
      </c>
      <c r="B42" s="389">
        <v>76.599999999999994</v>
      </c>
      <c r="C42" s="393" t="s">
        <v>285</v>
      </c>
      <c r="F42" s="317"/>
    </row>
    <row r="43" spans="1:6" x14ac:dyDescent="0.2">
      <c r="A43" s="389" t="s">
        <v>887</v>
      </c>
      <c r="B43" s="389">
        <v>84.5</v>
      </c>
      <c r="C43" s="393" t="s">
        <v>285</v>
      </c>
      <c r="F43" s="317"/>
    </row>
    <row r="44" spans="1:6" x14ac:dyDescent="0.2">
      <c r="A44" s="389" t="s">
        <v>888</v>
      </c>
      <c r="B44" s="389">
        <v>79.8</v>
      </c>
      <c r="C44" s="393" t="s">
        <v>285</v>
      </c>
      <c r="F44" s="317"/>
    </row>
    <row r="45" spans="1:6" x14ac:dyDescent="0.2">
      <c r="A45" s="389" t="s">
        <v>889</v>
      </c>
      <c r="B45" s="389">
        <v>75.900000000000006</v>
      </c>
      <c r="C45" s="393" t="s">
        <v>285</v>
      </c>
      <c r="F45" s="317"/>
    </row>
    <row r="46" spans="1:6" x14ac:dyDescent="0.2">
      <c r="A46" s="389" t="s">
        <v>890</v>
      </c>
      <c r="B46" s="389">
        <v>77.5</v>
      </c>
      <c r="C46" s="393" t="s">
        <v>285</v>
      </c>
      <c r="F46" s="317"/>
    </row>
    <row r="47" spans="1:6" x14ac:dyDescent="0.2">
      <c r="A47" s="389" t="s">
        <v>891</v>
      </c>
      <c r="B47" s="389">
        <v>77.5</v>
      </c>
      <c r="C47" s="393" t="s">
        <v>285</v>
      </c>
      <c r="F47" s="317"/>
    </row>
    <row r="48" spans="1:6" x14ac:dyDescent="0.2">
      <c r="A48" s="389" t="s">
        <v>892</v>
      </c>
      <c r="B48" s="389">
        <v>76.8</v>
      </c>
      <c r="C48" s="393" t="s">
        <v>285</v>
      </c>
      <c r="F48" s="317"/>
    </row>
    <row r="49" spans="1:6" x14ac:dyDescent="0.2">
      <c r="A49" s="389" t="s">
        <v>893</v>
      </c>
      <c r="B49" s="389">
        <v>78.3</v>
      </c>
      <c r="C49" s="393" t="s">
        <v>285</v>
      </c>
      <c r="F49" s="317"/>
    </row>
    <row r="50" spans="1:6" x14ac:dyDescent="0.2">
      <c r="A50" s="389" t="s">
        <v>894</v>
      </c>
      <c r="B50" s="389">
        <v>77.7</v>
      </c>
      <c r="C50" s="393" t="s">
        <v>285</v>
      </c>
      <c r="F50" s="317"/>
    </row>
    <row r="51" spans="1:6" x14ac:dyDescent="0.2">
      <c r="A51" s="383" t="s">
        <v>1107</v>
      </c>
      <c r="B51" s="383">
        <v>80.2</v>
      </c>
      <c r="C51" s="385" t="s">
        <v>285</v>
      </c>
      <c r="F51" s="317"/>
    </row>
    <row r="52" spans="1:6" x14ac:dyDescent="0.2">
      <c r="A52" s="389" t="s">
        <v>895</v>
      </c>
      <c r="B52" s="389">
        <v>77.7</v>
      </c>
      <c r="C52" s="393" t="s">
        <v>285</v>
      </c>
      <c r="F52" s="317"/>
    </row>
    <row r="53" spans="1:6" x14ac:dyDescent="0.2">
      <c r="A53" s="383" t="s">
        <v>896</v>
      </c>
      <c r="B53" s="383">
        <v>77.3</v>
      </c>
      <c r="C53" s="393" t="s">
        <v>285</v>
      </c>
      <c r="F53" s="317"/>
    </row>
    <row r="54" spans="1:6" x14ac:dyDescent="0.2">
      <c r="A54" s="383" t="s">
        <v>897</v>
      </c>
      <c r="B54" s="383">
        <v>76</v>
      </c>
      <c r="C54" s="393" t="s">
        <v>285</v>
      </c>
      <c r="F54" s="317"/>
    </row>
    <row r="55" spans="1:6" x14ac:dyDescent="0.2">
      <c r="A55" s="383" t="s">
        <v>898</v>
      </c>
      <c r="B55" s="383">
        <v>77.3</v>
      </c>
      <c r="C55" s="393" t="s">
        <v>285</v>
      </c>
      <c r="F55" s="317"/>
    </row>
    <row r="56" spans="1:6" x14ac:dyDescent="0.2">
      <c r="A56" s="383" t="s">
        <v>899</v>
      </c>
      <c r="B56" s="383">
        <v>77.3</v>
      </c>
      <c r="C56" s="393" t="s">
        <v>285</v>
      </c>
      <c r="F56" s="317"/>
    </row>
    <row r="57" spans="1:6" x14ac:dyDescent="0.2">
      <c r="A57" s="383" t="s">
        <v>900</v>
      </c>
      <c r="B57" s="383">
        <v>78.599999999999994</v>
      </c>
      <c r="C57" s="393" t="s">
        <v>285</v>
      </c>
      <c r="F57" s="317"/>
    </row>
    <row r="58" spans="1:6" x14ac:dyDescent="0.2">
      <c r="A58" s="383" t="s">
        <v>1271</v>
      </c>
      <c r="B58" s="383">
        <v>77.3</v>
      </c>
      <c r="C58" s="393" t="s">
        <v>285</v>
      </c>
      <c r="F58" s="317"/>
    </row>
    <row r="59" spans="1:6" x14ac:dyDescent="0.2">
      <c r="A59" s="383" t="s">
        <v>901</v>
      </c>
      <c r="B59" s="383">
        <v>77.7</v>
      </c>
      <c r="C59" s="393" t="s">
        <v>285</v>
      </c>
      <c r="F59" s="317"/>
    </row>
    <row r="60" spans="1:6" x14ac:dyDescent="0.2">
      <c r="A60" s="383" t="s">
        <v>1272</v>
      </c>
      <c r="B60" s="383">
        <v>77.7</v>
      </c>
      <c r="C60" s="393" t="s">
        <v>285</v>
      </c>
      <c r="F60" s="317"/>
    </row>
    <row r="61" spans="1:6" x14ac:dyDescent="0.2">
      <c r="A61" s="383" t="s">
        <v>1273</v>
      </c>
      <c r="B61" s="383">
        <v>77.7</v>
      </c>
      <c r="C61" s="393" t="s">
        <v>285</v>
      </c>
      <c r="F61" s="317"/>
    </row>
    <row r="62" spans="1:6" x14ac:dyDescent="0.2">
      <c r="A62" s="383" t="s">
        <v>902</v>
      </c>
      <c r="B62" s="383">
        <v>77.400000000000006</v>
      </c>
      <c r="C62" s="393" t="s">
        <v>285</v>
      </c>
      <c r="F62" s="317"/>
    </row>
    <row r="63" spans="1:6" x14ac:dyDescent="0.2">
      <c r="A63" s="383" t="s">
        <v>903</v>
      </c>
      <c r="B63" s="383">
        <v>75.7</v>
      </c>
      <c r="C63" s="393" t="s">
        <v>285</v>
      </c>
      <c r="F63" s="317"/>
    </row>
    <row r="64" spans="1:6" x14ac:dyDescent="0.2">
      <c r="A64" s="383" t="s">
        <v>904</v>
      </c>
      <c r="B64" s="383">
        <v>77.2</v>
      </c>
      <c r="C64" s="393" t="s">
        <v>285</v>
      </c>
      <c r="F64" s="317"/>
    </row>
    <row r="65" spans="1:6" x14ac:dyDescent="0.2">
      <c r="A65" s="383" t="s">
        <v>1274</v>
      </c>
      <c r="B65" s="383">
        <v>77.7</v>
      </c>
      <c r="C65" s="393" t="s">
        <v>285</v>
      </c>
      <c r="F65" s="317"/>
    </row>
    <row r="66" spans="1:6" x14ac:dyDescent="0.2">
      <c r="A66" s="383" t="s">
        <v>905</v>
      </c>
      <c r="B66" s="383">
        <v>77.3</v>
      </c>
      <c r="C66" s="393" t="s">
        <v>287</v>
      </c>
      <c r="F66" s="317"/>
    </row>
    <row r="67" spans="1:6" x14ac:dyDescent="0.2">
      <c r="A67" s="383" t="s">
        <v>906</v>
      </c>
      <c r="B67" s="383">
        <v>75.099999999999994</v>
      </c>
      <c r="C67" s="393" t="s">
        <v>285</v>
      </c>
      <c r="F67" s="317"/>
    </row>
    <row r="68" spans="1:6" x14ac:dyDescent="0.2">
      <c r="A68" s="383" t="s">
        <v>1277</v>
      </c>
      <c r="B68" s="383">
        <v>77.3</v>
      </c>
      <c r="C68" s="393" t="s">
        <v>285</v>
      </c>
      <c r="F68" s="317"/>
    </row>
    <row r="69" spans="1:6" x14ac:dyDescent="0.2">
      <c r="A69" s="383" t="s">
        <v>907</v>
      </c>
      <c r="B69" s="383">
        <v>77.7</v>
      </c>
      <c r="C69" s="393" t="s">
        <v>285</v>
      </c>
      <c r="F69" s="317"/>
    </row>
    <row r="70" spans="1:6" x14ac:dyDescent="0.2">
      <c r="A70" s="383" t="s">
        <v>908</v>
      </c>
      <c r="B70" s="383">
        <v>76.599999999999994</v>
      </c>
      <c r="C70" s="393" t="s">
        <v>285</v>
      </c>
      <c r="F70" s="317"/>
    </row>
    <row r="71" spans="1:6" x14ac:dyDescent="0.2">
      <c r="A71" s="383" t="s">
        <v>1275</v>
      </c>
      <c r="B71" s="383">
        <v>77.7</v>
      </c>
      <c r="C71" s="393" t="s">
        <v>285</v>
      </c>
      <c r="F71" s="317"/>
    </row>
    <row r="72" spans="1:6" x14ac:dyDescent="0.2">
      <c r="A72" s="383" t="s">
        <v>909</v>
      </c>
      <c r="B72" s="383">
        <v>76.599999999999994</v>
      </c>
      <c r="C72" s="393" t="s">
        <v>285</v>
      </c>
      <c r="F72" s="317"/>
    </row>
    <row r="73" spans="1:6" x14ac:dyDescent="0.2">
      <c r="A73" s="383" t="s">
        <v>910</v>
      </c>
      <c r="B73" s="383">
        <v>75.5</v>
      </c>
      <c r="C73" s="393" t="s">
        <v>285</v>
      </c>
      <c r="F73" s="317"/>
    </row>
    <row r="74" spans="1:6" x14ac:dyDescent="0.2">
      <c r="A74" s="383" t="s">
        <v>911</v>
      </c>
      <c r="B74" s="383">
        <v>78.3</v>
      </c>
      <c r="C74" s="393" t="s">
        <v>285</v>
      </c>
      <c r="F74" s="317"/>
    </row>
    <row r="75" spans="1:6" x14ac:dyDescent="0.2">
      <c r="A75" s="383" t="s">
        <v>1276</v>
      </c>
      <c r="B75" s="383">
        <v>77.7</v>
      </c>
      <c r="C75" s="393" t="s">
        <v>285</v>
      </c>
      <c r="F75" s="317"/>
    </row>
    <row r="76" spans="1:6" x14ac:dyDescent="0.2">
      <c r="A76" s="383" t="s">
        <v>912</v>
      </c>
      <c r="B76" s="383">
        <v>73.8</v>
      </c>
      <c r="C76" s="393" t="s">
        <v>285</v>
      </c>
      <c r="F76" s="317"/>
    </row>
    <row r="77" spans="1:6" x14ac:dyDescent="0.2">
      <c r="A77" s="383" t="s">
        <v>913</v>
      </c>
      <c r="B77" s="383">
        <v>77.5</v>
      </c>
      <c r="C77" s="393" t="s">
        <v>285</v>
      </c>
      <c r="F77" s="317"/>
    </row>
    <row r="78" spans="1:6" x14ac:dyDescent="0.2">
      <c r="A78" s="383" t="s">
        <v>914</v>
      </c>
      <c r="B78" s="383">
        <v>79.400000000000006</v>
      </c>
      <c r="C78" s="393" t="s">
        <v>285</v>
      </c>
      <c r="F78" s="317"/>
    </row>
    <row r="79" spans="1:6" x14ac:dyDescent="0.2">
      <c r="A79" s="383" t="s">
        <v>915</v>
      </c>
      <c r="B79" s="383">
        <v>77.099999999999994</v>
      </c>
      <c r="C79" s="393" t="s">
        <v>285</v>
      </c>
      <c r="F79" s="317"/>
    </row>
    <row r="80" spans="1:6" x14ac:dyDescent="0.2">
      <c r="A80" s="383" t="s">
        <v>916</v>
      </c>
      <c r="B80" s="383">
        <v>79.8</v>
      </c>
      <c r="C80" s="393" t="s">
        <v>285</v>
      </c>
      <c r="F80" s="317"/>
    </row>
    <row r="81" spans="1:6" x14ac:dyDescent="0.2">
      <c r="A81" s="383" t="s">
        <v>917</v>
      </c>
      <c r="B81" s="383">
        <v>77.400000000000006</v>
      </c>
      <c r="C81" s="393" t="s">
        <v>285</v>
      </c>
      <c r="F81" s="317"/>
    </row>
    <row r="82" spans="1:6" x14ac:dyDescent="0.2">
      <c r="A82" s="383" t="s">
        <v>1377</v>
      </c>
      <c r="B82" s="383">
        <v>73.8</v>
      </c>
      <c r="C82" s="385" t="s">
        <v>285</v>
      </c>
    </row>
    <row r="83" spans="1:6" x14ac:dyDescent="0.2">
      <c r="A83" s="383" t="s">
        <v>1100</v>
      </c>
      <c r="B83" s="383">
        <v>77.3</v>
      </c>
      <c r="C83" s="385" t="s">
        <v>285</v>
      </c>
    </row>
    <row r="84" spans="1:6" x14ac:dyDescent="0.2">
      <c r="A84" s="383" t="s">
        <v>918</v>
      </c>
      <c r="B84" s="383">
        <v>76.3</v>
      </c>
      <c r="C84" s="393" t="s">
        <v>286</v>
      </c>
    </row>
    <row r="85" spans="1:6" x14ac:dyDescent="0.2">
      <c r="A85" s="383" t="s">
        <v>919</v>
      </c>
      <c r="B85" s="383">
        <v>74.8</v>
      </c>
      <c r="C85" s="393" t="s">
        <v>287</v>
      </c>
    </row>
    <row r="86" spans="1:6" x14ac:dyDescent="0.2">
      <c r="A86" s="383" t="s">
        <v>920</v>
      </c>
      <c r="B86" s="383">
        <v>76.900000000000006</v>
      </c>
      <c r="C86" s="393" t="s">
        <v>286</v>
      </c>
    </row>
    <row r="87" spans="1:6" x14ac:dyDescent="0.2">
      <c r="A87" s="383" t="s">
        <v>921</v>
      </c>
      <c r="B87" s="383">
        <v>76.400000000000006</v>
      </c>
      <c r="C87" s="393" t="s">
        <v>286</v>
      </c>
    </row>
    <row r="88" spans="1:6" x14ac:dyDescent="0.2">
      <c r="A88" s="383" t="s">
        <v>922</v>
      </c>
      <c r="B88" s="383">
        <v>75.3</v>
      </c>
      <c r="C88" s="393" t="s">
        <v>286</v>
      </c>
    </row>
    <row r="89" spans="1:6" x14ac:dyDescent="0.2">
      <c r="A89" s="383" t="s">
        <v>923</v>
      </c>
      <c r="B89" s="383">
        <v>75.099999999999994</v>
      </c>
      <c r="C89" s="393" t="s">
        <v>286</v>
      </c>
    </row>
    <row r="90" spans="1:6" x14ac:dyDescent="0.2">
      <c r="A90" s="383" t="s">
        <v>924</v>
      </c>
      <c r="B90" s="383">
        <v>75.7</v>
      </c>
      <c r="C90" s="393" t="s">
        <v>286</v>
      </c>
    </row>
    <row r="91" spans="1:6" x14ac:dyDescent="0.2">
      <c r="A91" s="383" t="s">
        <v>925</v>
      </c>
      <c r="B91" s="383">
        <v>84.5</v>
      </c>
      <c r="C91" s="385" t="s">
        <v>285</v>
      </c>
    </row>
    <row r="92" spans="1:6" x14ac:dyDescent="0.2">
      <c r="A92" s="383" t="s">
        <v>1101</v>
      </c>
      <c r="B92" s="383">
        <v>77.5</v>
      </c>
      <c r="C92" s="385" t="s">
        <v>285</v>
      </c>
    </row>
    <row r="93" spans="1:6" x14ac:dyDescent="0.2">
      <c r="A93" s="383" t="s">
        <v>1102</v>
      </c>
      <c r="B93" s="383">
        <v>79.8</v>
      </c>
      <c r="C93" s="385" t="s">
        <v>285</v>
      </c>
    </row>
    <row r="94" spans="1:6" x14ac:dyDescent="0.2">
      <c r="A94" s="383" t="s">
        <v>1103</v>
      </c>
      <c r="B94" s="383">
        <v>89.9</v>
      </c>
      <c r="C94" s="385" t="s">
        <v>285</v>
      </c>
    </row>
    <row r="95" spans="1:6" x14ac:dyDescent="0.2">
      <c r="A95" s="383" t="s">
        <v>1104</v>
      </c>
      <c r="B95" s="383">
        <v>89.9</v>
      </c>
      <c r="C95" s="385" t="s">
        <v>285</v>
      </c>
    </row>
    <row r="96" spans="1:6" x14ac:dyDescent="0.2">
      <c r="A96" s="383" t="s">
        <v>1278</v>
      </c>
      <c r="B96" s="383">
        <v>77.7</v>
      </c>
      <c r="C96" s="385" t="s">
        <v>285</v>
      </c>
    </row>
    <row r="97" spans="1:3" x14ac:dyDescent="0.2">
      <c r="A97" s="383" t="s">
        <v>1279</v>
      </c>
      <c r="B97" s="383">
        <v>76.599999999999994</v>
      </c>
      <c r="C97" s="385" t="s">
        <v>285</v>
      </c>
    </row>
    <row r="98" spans="1:3" x14ac:dyDescent="0.2">
      <c r="A98" s="383" t="s">
        <v>1280</v>
      </c>
      <c r="B98" s="383">
        <v>77.3</v>
      </c>
      <c r="C98" s="385" t="s">
        <v>285</v>
      </c>
    </row>
    <row r="99" spans="1:3" x14ac:dyDescent="0.2">
      <c r="A99" s="383" t="s">
        <v>1281</v>
      </c>
      <c r="B99" s="383">
        <v>76</v>
      </c>
      <c r="C99" s="385" t="s">
        <v>285</v>
      </c>
    </row>
    <row r="100" spans="1:3" x14ac:dyDescent="0.2">
      <c r="A100" s="383" t="s">
        <v>1282</v>
      </c>
      <c r="B100" s="383">
        <v>76</v>
      </c>
      <c r="C100" s="385" t="s">
        <v>285</v>
      </c>
    </row>
    <row r="101" spans="1:3" x14ac:dyDescent="0.2">
      <c r="A101" s="383" t="s">
        <v>1283</v>
      </c>
      <c r="B101" s="383">
        <v>77.3</v>
      </c>
      <c r="C101" s="385" t="s">
        <v>285</v>
      </c>
    </row>
    <row r="102" spans="1:3" x14ac:dyDescent="0.2">
      <c r="A102" s="383" t="s">
        <v>1284</v>
      </c>
      <c r="B102" s="383">
        <v>77.7</v>
      </c>
      <c r="C102" s="385" t="s">
        <v>285</v>
      </c>
    </row>
    <row r="103" spans="1:3" x14ac:dyDescent="0.2">
      <c r="A103" s="383" t="s">
        <v>1285</v>
      </c>
      <c r="B103" s="383">
        <v>79.8</v>
      </c>
      <c r="C103" s="385" t="s">
        <v>285</v>
      </c>
    </row>
    <row r="104" spans="1:3" x14ac:dyDescent="0.2">
      <c r="A104" s="383" t="s">
        <v>1286</v>
      </c>
      <c r="B104" s="383">
        <v>77.3</v>
      </c>
      <c r="C104" s="385" t="s">
        <v>285</v>
      </c>
    </row>
    <row r="105" spans="1:3" x14ac:dyDescent="0.2">
      <c r="A105" s="383" t="s">
        <v>1287</v>
      </c>
      <c r="B105" s="383">
        <v>75.5</v>
      </c>
      <c r="C105" s="385" t="s">
        <v>285</v>
      </c>
    </row>
    <row r="106" spans="1:3" x14ac:dyDescent="0.2">
      <c r="A106" s="383" t="s">
        <v>1288</v>
      </c>
      <c r="B106" s="383">
        <v>76.3</v>
      </c>
      <c r="C106" s="385" t="s">
        <v>286</v>
      </c>
    </row>
    <row r="107" spans="1:3" x14ac:dyDescent="0.2">
      <c r="A107" s="383" t="s">
        <v>1289</v>
      </c>
      <c r="B107" s="383">
        <v>76.400000000000006</v>
      </c>
      <c r="C107" s="385" t="s">
        <v>286</v>
      </c>
    </row>
    <row r="108" spans="1:3" x14ac:dyDescent="0.2">
      <c r="A108" s="429" t="s">
        <v>1442</v>
      </c>
      <c r="B108" s="383">
        <v>75.099999999999994</v>
      </c>
      <c r="C108" s="393" t="s">
        <v>285</v>
      </c>
    </row>
    <row r="109" spans="1:3" x14ac:dyDescent="0.2">
      <c r="A109" s="383"/>
      <c r="B109" s="383"/>
      <c r="C109" s="385"/>
    </row>
    <row r="110" spans="1:3" x14ac:dyDescent="0.2">
      <c r="A110" s="383"/>
      <c r="B110" s="383"/>
      <c r="C110" s="385"/>
    </row>
    <row r="111" spans="1:3" x14ac:dyDescent="0.2">
      <c r="A111" s="383"/>
      <c r="B111" s="383"/>
      <c r="C111" s="385"/>
    </row>
    <row r="112" spans="1:3" x14ac:dyDescent="0.2">
      <c r="A112" s="383"/>
      <c r="B112" s="383"/>
      <c r="C112" s="385"/>
    </row>
    <row r="113" spans="1:10" x14ac:dyDescent="0.2">
      <c r="A113" s="383"/>
      <c r="B113" s="383"/>
      <c r="C113" s="385"/>
    </row>
    <row r="114" spans="1:10" x14ac:dyDescent="0.2">
      <c r="A114" s="383"/>
      <c r="B114" s="383"/>
      <c r="C114" s="385"/>
    </row>
    <row r="115" spans="1:10" x14ac:dyDescent="0.2">
      <c r="A115" s="383"/>
      <c r="B115" s="383"/>
      <c r="C115" s="385"/>
    </row>
    <row r="116" spans="1:10" x14ac:dyDescent="0.2">
      <c r="A116" s="383"/>
      <c r="B116" s="383"/>
      <c r="C116" s="385"/>
    </row>
    <row r="117" spans="1:10" x14ac:dyDescent="0.2">
      <c r="A117" s="383"/>
      <c r="B117" s="383"/>
      <c r="C117" s="385"/>
    </row>
    <row r="118" spans="1:10" x14ac:dyDescent="0.2">
      <c r="A118" s="383"/>
      <c r="B118" s="383"/>
      <c r="C118" s="385"/>
    </row>
    <row r="119" spans="1:10" x14ac:dyDescent="0.2">
      <c r="A119" s="383"/>
      <c r="B119" s="383"/>
      <c r="C119" s="385"/>
    </row>
    <row r="120" spans="1:10" x14ac:dyDescent="0.2">
      <c r="A120" s="383"/>
      <c r="B120" s="383"/>
      <c r="C120" s="385"/>
    </row>
    <row r="121" spans="1:10" ht="15" x14ac:dyDescent="0.25">
      <c r="A121" s="11" t="s">
        <v>1050</v>
      </c>
    </row>
    <row r="122" spans="1:10" ht="15" x14ac:dyDescent="0.25">
      <c r="A122" s="11" t="s">
        <v>511</v>
      </c>
    </row>
    <row r="123" spans="1:10" ht="15" x14ac:dyDescent="0.25">
      <c r="A123" s="11" t="s">
        <v>1047</v>
      </c>
    </row>
    <row r="124" spans="1:10" ht="15" x14ac:dyDescent="0.25">
      <c r="A124" s="11" t="s">
        <v>1305</v>
      </c>
    </row>
    <row r="125" spans="1:10" ht="15" x14ac:dyDescent="0.25">
      <c r="A125" s="11" t="s">
        <v>515</v>
      </c>
    </row>
    <row r="126" spans="1:10" ht="15" x14ac:dyDescent="0.25">
      <c r="A126" s="11" t="s">
        <v>516</v>
      </c>
    </row>
    <row r="127" spans="1:10" x14ac:dyDescent="0.2">
      <c r="A127" s="86" t="s">
        <v>1108</v>
      </c>
      <c r="B127" s="87"/>
      <c r="C127" s="87"/>
      <c r="D127" s="87"/>
      <c r="E127" s="87"/>
      <c r="F127" s="87"/>
      <c r="G127" s="87"/>
      <c r="H127" s="87"/>
      <c r="I127" s="87"/>
      <c r="J127" s="87"/>
    </row>
    <row r="128" spans="1:10" x14ac:dyDescent="0.2">
      <c r="A128" s="87"/>
      <c r="B128" s="87"/>
      <c r="C128" s="87"/>
      <c r="D128" s="87"/>
      <c r="E128" s="88" t="s">
        <v>251</v>
      </c>
      <c r="F128" s="215">
        <v>76.7</v>
      </c>
      <c r="G128" s="87" t="s">
        <v>237</v>
      </c>
      <c r="H128" s="87"/>
      <c r="I128" s="87"/>
      <c r="J128" s="87"/>
    </row>
    <row r="129" spans="1:10" x14ac:dyDescent="0.2">
      <c r="A129" s="87"/>
      <c r="B129" s="87"/>
      <c r="C129" s="87"/>
      <c r="D129" s="87"/>
      <c r="E129" s="87"/>
      <c r="F129" s="87"/>
      <c r="G129" s="87" t="s">
        <v>238</v>
      </c>
      <c r="H129" s="87"/>
      <c r="I129" s="87"/>
      <c r="J129" s="87"/>
    </row>
    <row r="130" spans="1:10" x14ac:dyDescent="0.2">
      <c r="A130" s="87" t="s">
        <v>247</v>
      </c>
      <c r="B130" s="87"/>
      <c r="C130" s="87"/>
      <c r="D130" s="87"/>
      <c r="E130" s="87"/>
      <c r="F130" s="87"/>
      <c r="G130" s="87"/>
      <c r="H130" s="87"/>
      <c r="I130" s="87"/>
      <c r="J130" s="87"/>
    </row>
    <row r="131" spans="1:10" x14ac:dyDescent="0.2">
      <c r="A131" s="14" t="s">
        <v>972</v>
      </c>
    </row>
  </sheetData>
  <pageMargins left="0.7" right="0.7" top="0.75" bottom="0.75" header="0.3" footer="0.3"/>
  <pageSetup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dimension ref="A1:X61"/>
  <sheetViews>
    <sheetView topLeftCell="A25" workbookViewId="0">
      <selection activeCell="B42" sqref="B42"/>
    </sheetView>
  </sheetViews>
  <sheetFormatPr defaultRowHeight="15" x14ac:dyDescent="0.25"/>
  <cols>
    <col min="2" max="2" width="11" customWidth="1"/>
    <col min="3" max="3" width="9.140625" customWidth="1"/>
    <col min="8" max="8" width="24.28515625" customWidth="1"/>
    <col min="9" max="9" width="13.85546875" customWidth="1"/>
    <col min="10" max="10" width="11.5703125" customWidth="1"/>
    <col min="11" max="11" width="11.42578125" customWidth="1"/>
    <col min="17" max="17" width="9.140625" customWidth="1"/>
    <col min="18" max="18" width="14.42578125" customWidth="1"/>
  </cols>
  <sheetData>
    <row r="1" spans="1:24" ht="60.75" customHeight="1" x14ac:dyDescent="0.25">
      <c r="B1" t="s">
        <v>347</v>
      </c>
      <c r="C1" t="s">
        <v>346</v>
      </c>
      <c r="D1" t="s">
        <v>261</v>
      </c>
      <c r="E1" t="s">
        <v>260</v>
      </c>
      <c r="F1" s="14" t="s">
        <v>233</v>
      </c>
      <c r="G1" s="13" t="s">
        <v>123</v>
      </c>
      <c r="H1" s="13" t="s">
        <v>59</v>
      </c>
      <c r="I1" s="13" t="s">
        <v>55</v>
      </c>
      <c r="J1" s="13" t="s">
        <v>60</v>
      </c>
      <c r="K1" s="13" t="s">
        <v>57</v>
      </c>
      <c r="L1" s="13" t="s">
        <v>61</v>
      </c>
      <c r="M1" s="13" t="s">
        <v>62</v>
      </c>
      <c r="N1" s="13" t="s">
        <v>122</v>
      </c>
      <c r="O1" s="13" t="s">
        <v>63</v>
      </c>
      <c r="P1" s="285" t="s">
        <v>744</v>
      </c>
      <c r="Q1" s="285" t="s">
        <v>743</v>
      </c>
      <c r="R1" s="285" t="s">
        <v>746</v>
      </c>
      <c r="X1" t="s">
        <v>801</v>
      </c>
    </row>
    <row r="2" spans="1:24" x14ac:dyDescent="0.25">
      <c r="B2">
        <f t="shared" ref="B2:B15" si="0">C2*F2</f>
        <v>850</v>
      </c>
      <c r="C2">
        <f>IF(H2&lt;&gt;0,VLOOKUP(H2,GRAINLOOKUP!$A$2:$G$200,7,0),0)</f>
        <v>85</v>
      </c>
      <c r="D2">
        <f t="shared" ref="D2:D15" si="1">(G2*E2)/$D$19</f>
        <v>6.982543640897755</v>
      </c>
      <c r="E2">
        <f>IF(H2&lt;&gt;0,VLOOKUP(H2,GRAINLOOKUP!$A$2:$F$200,6,0),0)</f>
        <v>3.5</v>
      </c>
      <c r="F2" s="14">
        <f>IF(G2&lt;&gt;0,(IF(VLOOKUP(H2,GRAINLOOKUP!$A$2:$E$200,5,0)="y",G2,0)),0)</f>
        <v>10</v>
      </c>
      <c r="G2" s="14">
        <f>IF(Brewhouse!V17="Metric", Recipe!B13*2.20462262, Recipe!B13)</f>
        <v>10</v>
      </c>
      <c r="H2" s="14" t="str">
        <f>Recipe!D13</f>
        <v>Pale Ale Malt, Briess</v>
      </c>
      <c r="I2" s="14">
        <f>(IF(H2&lt;&gt;"",VLOOKUP(H2,GRAINLOOKUP!$A$2:$B$200,2,0),0))/1000</f>
        <v>3.6999999999999998E-2</v>
      </c>
      <c r="J2" s="15">
        <f>IF(H2&lt;&gt;0,IF(VLOOKUP(H2,GRAINLOOKUP!$A$2:$C$200,3,0)="y",(G2*I2*Recipe!$B$6),(G2*I2)),0)</f>
        <v>0.25900000000000001</v>
      </c>
      <c r="K2" s="14">
        <f>IF(H2&lt;&gt;0,VLOOKUP(H2,GRAINLOOKUP!$A$2:$D$200,4,0),0)</f>
        <v>0.81</v>
      </c>
      <c r="L2" s="14">
        <f>IF(H2&lt;&gt;0,IF(VLOOKUP(H2,GRAINLOOKUP!$A$2:$E$200,5,0)="y",VLOOKUP(ROUND($G$29,0),$G$33:$H$49,2,0)*K2,(K2)),0)</f>
        <v>0.78180307491670831</v>
      </c>
      <c r="M2" s="15">
        <f>IF(H2&lt;&gt;0,IF(VLOOKUP(H2,GRAINLOOKUP!$A$2:$E$200,5,0)="y",VLOOKUP($J$29,$J$33:$K$39,2,0)*L2,(L2)),0)</f>
        <v>0.78180307491670831</v>
      </c>
      <c r="N2" s="15">
        <f>IF(H2&lt;&gt;0,IF(K2&lt;0.85,(VLOOKUP($I$26,YEASTLOOKUP!$A$2:$B$120,2,0)/YEASTLOOKUP!$F$128)*M2*Brewhouse!C32,(M2)),0)</f>
        <v>0.77932413739624218</v>
      </c>
      <c r="O2" s="15">
        <f t="shared" ref="O2:O15" si="2">J2-(J2*N2)</f>
        <v>5.7155048414373272E-2</v>
      </c>
      <c r="P2">
        <f>IF(H2&lt;&gt;0,IF(VLOOKUP(H2,GRAINLOOKUP!$A$2:$C$200,3,0)="y",(G2*I2*Recipe!$B$6),(0)),0)</f>
        <v>0.25900000000000001</v>
      </c>
      <c r="Q2">
        <f>IF(H2&lt;&gt;0,IF(VLOOKUP(H2,GRAINLOOKUP!$A$2:$C$200,3,0)="y",(0),(G2*I2)),0)</f>
        <v>0</v>
      </c>
      <c r="R2">
        <f t="shared" ref="R2:R15" si="3">J2*N2</f>
        <v>0.20184495158562674</v>
      </c>
      <c r="X2">
        <f t="shared" ref="X2:X15" si="4">IF(P2&gt;0, I2, 0)*1000*F2</f>
        <v>370</v>
      </c>
    </row>
    <row r="3" spans="1:24" x14ac:dyDescent="0.25">
      <c r="B3">
        <f t="shared" si="0"/>
        <v>119.52</v>
      </c>
      <c r="C3">
        <f>IF(H3&lt;&gt;0,VLOOKUP(H3,GRAINLOOKUP!$A$2:$G$200,7,0),0)</f>
        <v>72</v>
      </c>
      <c r="D3">
        <f t="shared" si="1"/>
        <v>2.9805486284289273</v>
      </c>
      <c r="E3">
        <f>IF(H3&lt;&gt;0,VLOOKUP(H3,GRAINLOOKUP!$A$2:$F$200,6,0),0)</f>
        <v>9</v>
      </c>
      <c r="F3" s="14">
        <f>IF(G3&lt;&gt;0,(IF(VLOOKUP(H3,GRAINLOOKUP!$A$2:$E$200,5,0)="y",G3,0)),0)</f>
        <v>1.66</v>
      </c>
      <c r="G3" s="14">
        <f>IF(Brewhouse!V17="Metric", Recipe!B14*2.20462262, Recipe!B14)</f>
        <v>1.66</v>
      </c>
      <c r="H3" s="14" t="str">
        <f>Recipe!D14</f>
        <v>Munich (9 srm)</v>
      </c>
      <c r="I3" s="14">
        <f>(IF(H3&lt;&gt;"",VLOOKUP(H3,GRAINLOOKUP!$A$2:$B$200,2,0),0))/1000</f>
        <v>3.5000000000000003E-2</v>
      </c>
      <c r="J3" s="15">
        <f>IF(H3&lt;&gt;0,IF(VLOOKUP(H3,GRAINLOOKUP!$A$2:$C$200,3,0)="y",(G3*I3*Recipe!$B$6),(G3*I3)),0)</f>
        <v>4.0670000000000005E-2</v>
      </c>
      <c r="K3" s="14">
        <f>IF(H3&lt;&gt;0,VLOOKUP(H3,GRAINLOOKUP!$A$2:$D$200,4,0),0)</f>
        <v>0.77</v>
      </c>
      <c r="L3" s="14">
        <f>IF(H3&lt;&gt;0,IF(VLOOKUP(H3,GRAINLOOKUP!$A$2:$E$200,5,0)="y",VLOOKUP(ROUND($G$29,0),$G$33:$H$49,2,0)*K3,(K3)),0)</f>
        <v>0.74319551566156217</v>
      </c>
      <c r="M3" s="15">
        <f>IF(H3&lt;&gt;0,IF(VLOOKUP(H3,GRAINLOOKUP!$A$2:$E$200,5,0)="y",VLOOKUP($J$29,$J$33:$K$39,2,0)*L3,(L3)),0)</f>
        <v>0.74319551566156217</v>
      </c>
      <c r="N3" s="15">
        <f>IF(H3&lt;&gt;0,IF(K3&lt;0.85,(VLOOKUP($I$26,YEASTLOOKUP!$A$2:$B$120,2,0)/YEASTLOOKUP!$F$128)*M3*Brewhouse!C32,(M3)),0)</f>
        <v>0.74083899480877347</v>
      </c>
      <c r="O3" s="15">
        <f t="shared" si="2"/>
        <v>1.0540078081127183E-2</v>
      </c>
      <c r="P3">
        <f>IF(H3&lt;&gt;0,IF(VLOOKUP(H3,GRAINLOOKUP!$A$2:$C$200,3,0)="y",(G3*I3*Recipe!$B$6),(0)),0)</f>
        <v>4.0670000000000005E-2</v>
      </c>
      <c r="Q3">
        <f>IF(H3&lt;&gt;0,IF(VLOOKUP(H3,GRAINLOOKUP!$A$2:$C$200,3,0)="y",(0),(G3*I3)),0)</f>
        <v>0</v>
      </c>
      <c r="R3">
        <f t="shared" si="3"/>
        <v>3.0129921918872822E-2</v>
      </c>
      <c r="X3">
        <f t="shared" si="4"/>
        <v>58.099999999999994</v>
      </c>
    </row>
    <row r="4" spans="1:24" x14ac:dyDescent="0.25">
      <c r="B4">
        <f t="shared" si="0"/>
        <v>0</v>
      </c>
      <c r="C4">
        <f>IF(H4&lt;&gt;0,VLOOKUP(H4,GRAINLOOKUP!$A$2:$G$200,7,0),0)</f>
        <v>0</v>
      </c>
      <c r="D4">
        <f t="shared" si="1"/>
        <v>9.9351620947630916</v>
      </c>
      <c r="E4">
        <f>IF(H4&lt;&gt;0,VLOOKUP(H4,GRAINLOOKUP!$A$2:$F$200,6,0),0)</f>
        <v>80</v>
      </c>
      <c r="F4" s="14">
        <f>IF(G4&lt;&gt;0,(IF(VLOOKUP(H4,GRAINLOOKUP!$A$2:$E$200,5,0)="y",G4,0)),0)</f>
        <v>0.62249999999999994</v>
      </c>
      <c r="G4" s="14">
        <f>IF(Brewhouse!V17="Metric", Recipe!B15*2.20462262, Recipe!B15)</f>
        <v>0.62249999999999994</v>
      </c>
      <c r="H4" s="14" t="str">
        <f>Recipe!D15</f>
        <v>British Dark Crystal 75/85L</v>
      </c>
      <c r="I4" s="14">
        <f>(IF(H4&lt;&gt;"",VLOOKUP(H4,GRAINLOOKUP!$A$2:$B$200,2,0),0))/1000</f>
        <v>3.4000000000000002E-2</v>
      </c>
      <c r="J4" s="15">
        <f>IF(H4&lt;&gt;0,IF(VLOOKUP(H4,GRAINLOOKUP!$A$2:$C$200,3,0)="y",(G4*I4*Recipe!$B$6),(G4*I4)),0)</f>
        <v>1.4815499999999999E-2</v>
      </c>
      <c r="K4" s="14">
        <f>IF(H4&lt;&gt;0,VLOOKUP(H4,GRAINLOOKUP!$A$2:$D$200,4,0),0)</f>
        <v>0.55000000000000004</v>
      </c>
      <c r="L4" s="14">
        <f>IF(H4&lt;&gt;0,IF(VLOOKUP(H4,GRAINLOOKUP!$A$2:$E$200,5,0)="y",VLOOKUP(ROUND($G$29,0),$G$33:$H$49,2,0)*K4,(K4)),0)</f>
        <v>0.53085393975825879</v>
      </c>
      <c r="M4" s="15">
        <f>IF(H4&lt;&gt;0,IF(VLOOKUP(H4,GRAINLOOKUP!$A$2:$E$200,5,0)="y",VLOOKUP($J$29,$J$33:$K$39,2,0)*L4,(L4)),0)</f>
        <v>0.53085393975825879</v>
      </c>
      <c r="N4" s="15">
        <f>IF(H4&lt;&gt;0,IF(K4&lt;0.85,(VLOOKUP($I$26,YEASTLOOKUP!$A$2:$B$120,2,0)/YEASTLOOKUP!$F$128)*M4*Brewhouse!C32,(M4)),0)</f>
        <v>0.52917071057769538</v>
      </c>
      <c r="O4" s="15">
        <f t="shared" si="2"/>
        <v>6.9755713374361535E-3</v>
      </c>
      <c r="P4">
        <f>IF(H4&lt;&gt;0,IF(VLOOKUP(H4,GRAINLOOKUP!$A$2:$C$200,3,0)="y",(G4*I4*Recipe!$B$6),(0)),0)</f>
        <v>1.4815499999999999E-2</v>
      </c>
      <c r="Q4">
        <f>IF(H4&lt;&gt;0,IF(VLOOKUP(H4,GRAINLOOKUP!$A$2:$C$200,3,0)="y",(0),(G4*I4)),0)</f>
        <v>0</v>
      </c>
      <c r="R4">
        <f t="shared" si="3"/>
        <v>7.8399286625638453E-3</v>
      </c>
      <c r="X4">
        <f t="shared" si="4"/>
        <v>21.164999999999999</v>
      </c>
    </row>
    <row r="5" spans="1:24" x14ac:dyDescent="0.25">
      <c r="B5">
        <f t="shared" si="0"/>
        <v>0</v>
      </c>
      <c r="C5">
        <f>IF(H5&lt;&gt;0,VLOOKUP(H5,GRAINLOOKUP!$A$2:$G$200,7,0),0)</f>
        <v>0</v>
      </c>
      <c r="D5">
        <f t="shared" si="1"/>
        <v>17.966084788029924</v>
      </c>
      <c r="E5">
        <f>IF(H5&lt;&gt;0,VLOOKUP(H5,GRAINLOOKUP!$A$2:$F$200,6,0),0)</f>
        <v>350</v>
      </c>
      <c r="F5" s="14">
        <f>IF(G5&lt;&gt;0,(IF(VLOOKUP(H5,GRAINLOOKUP!$A$2:$E$200,5,0)="y",G5,0)),0)</f>
        <v>0.25729999999999997</v>
      </c>
      <c r="G5" s="14">
        <f>IF(Brewhouse!V17="Metric", Recipe!B16*2.20462262, Recipe!B16)</f>
        <v>0.25729999999999997</v>
      </c>
      <c r="H5" s="14" t="str">
        <f>Recipe!D16</f>
        <v>Chocolate (US, 350 SRM)</v>
      </c>
      <c r="I5" s="14">
        <f>(IF(H5&lt;&gt;"",VLOOKUP(H5,GRAINLOOKUP!$A$2:$B$200,2,0),0))/1000</f>
        <v>2.8000000000000001E-2</v>
      </c>
      <c r="J5" s="15">
        <f>IF(H5&lt;&gt;0,IF(VLOOKUP(H5,GRAINLOOKUP!$A$2:$C$200,3,0)="y",(G5*I5*Recipe!$B$6),(G5*I5)),0)</f>
        <v>5.0430799999999993E-3</v>
      </c>
      <c r="K5" s="14">
        <f>IF(H5&lt;&gt;0,VLOOKUP(H5,GRAINLOOKUP!$A$2:$D$200,4,0),0)</f>
        <v>0.16</v>
      </c>
      <c r="L5" s="14">
        <f>IF(H5&lt;&gt;0,IF(VLOOKUP(H5,GRAINLOOKUP!$A$2:$E$200,5,0)="y",VLOOKUP(ROUND($G$29,0),$G$33:$H$49,2,0)*K5,(K5)),0)</f>
        <v>0.15443023702058434</v>
      </c>
      <c r="M5" s="15">
        <f>IF(H5&lt;&gt;0,IF(VLOOKUP(H5,GRAINLOOKUP!$A$2:$E$200,5,0)="y",VLOOKUP($J$29,$J$33:$K$39,2,0)*L5,(L5)),0)</f>
        <v>0.15443023702058434</v>
      </c>
      <c r="N5" s="15">
        <f>IF(H5&lt;&gt;0,IF(K5&lt;0.85,(VLOOKUP($I$26,YEASTLOOKUP!$A$2:$B$120,2,0)/YEASTLOOKUP!$F$128)*M5*Brewhouse!C32,(M5)),0)</f>
        <v>0.15394057034987499</v>
      </c>
      <c r="O5" s="15">
        <f t="shared" si="2"/>
        <v>4.2667453884799519E-3</v>
      </c>
      <c r="P5">
        <f>IF(H5&lt;&gt;0,IF(VLOOKUP(H5,GRAINLOOKUP!$A$2:$C$200,3,0)="y",(G5*I5*Recipe!$B$6),(0)),0)</f>
        <v>5.0430799999999993E-3</v>
      </c>
      <c r="Q5">
        <f>IF(H5&lt;&gt;0,IF(VLOOKUP(H5,GRAINLOOKUP!$A$2:$C$200,3,0)="y",(0),(G5*I5)),0)</f>
        <v>0</v>
      </c>
      <c r="R5">
        <f t="shared" si="3"/>
        <v>7.7633461152004743E-4</v>
      </c>
      <c r="X5">
        <f t="shared" si="4"/>
        <v>7.2043999999999997</v>
      </c>
    </row>
    <row r="6" spans="1:24" x14ac:dyDescent="0.25">
      <c r="B6">
        <f t="shared" si="0"/>
        <v>0</v>
      </c>
      <c r="C6">
        <f>IF(H6&lt;&gt;0,VLOOKUP(H6,GRAINLOOKUP!$A$2:$G$200,7,0),0)</f>
        <v>0</v>
      </c>
      <c r="D6">
        <f t="shared" si="1"/>
        <v>0</v>
      </c>
      <c r="E6">
        <f>IF(H6&lt;&gt;0,VLOOKUP(H6,GRAINLOOKUP!$A$2:$F$200,6,0),0)</f>
        <v>0</v>
      </c>
      <c r="F6" s="14">
        <f>IF(G6&lt;&gt;0,(IF(VLOOKUP(H6,GRAINLOOKUP!$A$2:$E$200,5,0)="y",G6,0)),0)</f>
        <v>0</v>
      </c>
      <c r="G6" s="14">
        <f>IF(Brewhouse!V17="Metric", Recipe!B17*2.20462262, Recipe!B17)</f>
        <v>0</v>
      </c>
      <c r="H6" s="14" t="str">
        <f>Recipe!D17</f>
        <v>---Select Grain/Fermentable---</v>
      </c>
      <c r="I6" s="14">
        <f>(IF(H6&lt;&gt;"",VLOOKUP(H6,GRAINLOOKUP!$A$2:$B$200,2,0),0))/1000</f>
        <v>0</v>
      </c>
      <c r="J6" s="15">
        <f>IF(H6&lt;&gt;0,IF(VLOOKUP(H6,GRAINLOOKUP!$A$2:$C$200,3,0)="y",(G6*I6*Recipe!$B$6),(G6*I6)),0)</f>
        <v>0</v>
      </c>
      <c r="K6" s="14">
        <f>IF(H6&lt;&gt;0,VLOOKUP(H6,GRAINLOOKUP!$A$2:$D$200,4,0),0)</f>
        <v>0</v>
      </c>
      <c r="L6" s="14">
        <f>IF(H6&lt;&gt;0,IF(VLOOKUP(H6,GRAINLOOKUP!$A$2:$E$200,5,0)="y",VLOOKUP(ROUND($G$29,0),$G$33:$H$49,2,0)*K6,(K6)),0)</f>
        <v>0</v>
      </c>
      <c r="M6" s="15">
        <f>IF(H6&lt;&gt;0,IF(VLOOKUP(H6,GRAINLOOKUP!$A$2:$E$200,5,0)="y",VLOOKUP($J$29,$J$33:$K$39,2,0)*L6,(L6)),0)</f>
        <v>0</v>
      </c>
      <c r="N6" s="15">
        <f>IF(H6&lt;&gt;0,IF(K6&lt;0.85,(VLOOKUP($I$26,YEASTLOOKUP!$A$2:$B$120,2,0)/YEASTLOOKUP!$F$128)*M6*Brewhouse!C32,(M6)),0)</f>
        <v>0</v>
      </c>
      <c r="O6" s="15">
        <f t="shared" si="2"/>
        <v>0</v>
      </c>
      <c r="P6">
        <f>IF(H6&lt;&gt;0,IF(VLOOKUP(H6,GRAINLOOKUP!$A$2:$C$200,3,0)="y",(G6*I6*Recipe!$B$6),(0)),0)</f>
        <v>0</v>
      </c>
      <c r="Q6">
        <f>IF(H6&lt;&gt;0,IF(VLOOKUP(H6,GRAINLOOKUP!$A$2:$C$200,3,0)="y",(0),(G6*I6)),0)</f>
        <v>0</v>
      </c>
      <c r="R6">
        <f t="shared" si="3"/>
        <v>0</v>
      </c>
      <c r="X6">
        <f t="shared" si="4"/>
        <v>0</v>
      </c>
    </row>
    <row r="7" spans="1:24" x14ac:dyDescent="0.25">
      <c r="B7">
        <f t="shared" si="0"/>
        <v>0</v>
      </c>
      <c r="C7">
        <f>IF(H7&lt;&gt;0,VLOOKUP(H7,GRAINLOOKUP!$A$2:$G$200,7,0),0)</f>
        <v>0</v>
      </c>
      <c r="D7">
        <f t="shared" si="1"/>
        <v>0</v>
      </c>
      <c r="E7">
        <f>IF(H7&lt;&gt;0,VLOOKUP(H7,GRAINLOOKUP!$A$2:$F$200,6,0),0)</f>
        <v>0</v>
      </c>
      <c r="F7" s="14">
        <f>IF(G7&lt;&gt;0,(IF(VLOOKUP(H7,GRAINLOOKUP!$A$2:$E$200,5,0)="y",G7,0)),0)</f>
        <v>0</v>
      </c>
      <c r="G7" s="14">
        <f>IF(Brewhouse!V17="Metric", Recipe!B18*2.20462262, Recipe!B18)</f>
        <v>0</v>
      </c>
      <c r="H7" s="14" t="str">
        <f>Recipe!D18</f>
        <v>---Select Grain/Fermentable---</v>
      </c>
      <c r="I7" s="14">
        <f>(IF(H7&lt;&gt;"",VLOOKUP(H7,GRAINLOOKUP!$A$2:$B$200,2,0),0))/1000</f>
        <v>0</v>
      </c>
      <c r="J7" s="15">
        <f>IF(H7&lt;&gt;0,IF(VLOOKUP(H7,GRAINLOOKUP!$A$2:$C$200,3,0)="y",(G7*I7*Recipe!$B$6),(G7*I7)),0)</f>
        <v>0</v>
      </c>
      <c r="K7" s="14">
        <f>IF(H7&lt;&gt;0,VLOOKUP(H7,GRAINLOOKUP!$A$2:$D$200,4,0),0)</f>
        <v>0</v>
      </c>
      <c r="L7" s="14">
        <f>IF(H7&lt;&gt;0,IF(VLOOKUP(H7,GRAINLOOKUP!$A$2:$E$200,5,0)="y",VLOOKUP(ROUND($G$29,0),$G$33:$H$49,2,0)*K7,(K7)),0)</f>
        <v>0</v>
      </c>
      <c r="M7" s="15">
        <f>IF(H7&lt;&gt;0,IF(VLOOKUP(H7,GRAINLOOKUP!$A$2:$E$200,5,0)="y",VLOOKUP($J$29,$J$33:$K$39,2,0)*L7,(L7)),0)</f>
        <v>0</v>
      </c>
      <c r="N7" s="15">
        <f>IF(H7&lt;&gt;0,IF(K7&lt;0.85,(VLOOKUP($I$26,YEASTLOOKUP!$A$2:$B$120,2,0)/YEASTLOOKUP!$F$128)*M7*Brewhouse!C32,(M7)),0)</f>
        <v>0</v>
      </c>
      <c r="O7" s="15">
        <f t="shared" si="2"/>
        <v>0</v>
      </c>
      <c r="P7">
        <f>IF(H7&lt;&gt;0,IF(VLOOKUP(H7,GRAINLOOKUP!$A$2:$C$200,3,0)="y",(G7*I7*Recipe!$B$6),(0)),0)</f>
        <v>0</v>
      </c>
      <c r="Q7">
        <f>IF(H7&lt;&gt;0,IF(VLOOKUP(H7,GRAINLOOKUP!$A$2:$C$200,3,0)="y",(0),(G7*I7)),0)</f>
        <v>0</v>
      </c>
      <c r="R7">
        <f t="shared" si="3"/>
        <v>0</v>
      </c>
      <c r="X7">
        <f t="shared" si="4"/>
        <v>0</v>
      </c>
    </row>
    <row r="8" spans="1:24" x14ac:dyDescent="0.25">
      <c r="B8">
        <f t="shared" si="0"/>
        <v>0</v>
      </c>
      <c r="C8">
        <f>IF(H8&lt;&gt;0,VLOOKUP(H8,GRAINLOOKUP!$A$2:$G$200,7,0),0)</f>
        <v>0</v>
      </c>
      <c r="D8">
        <f t="shared" si="1"/>
        <v>0</v>
      </c>
      <c r="E8">
        <f>IF(H8&lt;&gt;0,VLOOKUP(H8,GRAINLOOKUP!$A$2:$F$200,6,0),0)</f>
        <v>0</v>
      </c>
      <c r="F8" s="14">
        <f>IF(G8&lt;&gt;0,(IF(VLOOKUP(H8,GRAINLOOKUP!$A$2:$E$200,5,0)="y",G8,0)),0)</f>
        <v>0</v>
      </c>
      <c r="G8" s="14">
        <f>IF(Brewhouse!V17="Metric", Recipe!B19*2.20462262, Recipe!B19)</f>
        <v>0</v>
      </c>
      <c r="H8" s="14" t="str">
        <f>Recipe!D19</f>
        <v>---Select Grain/Fermentable---</v>
      </c>
      <c r="I8" s="14">
        <f>(IF(H8&lt;&gt;"",VLOOKUP(H8,GRAINLOOKUP!$A$2:$B$200,2,0),0))/1000</f>
        <v>0</v>
      </c>
      <c r="J8" s="15">
        <f>IF(H8&lt;&gt;0,IF(VLOOKUP(H8,GRAINLOOKUP!$A$2:$C$200,3,0)="y",(G8*I8*Recipe!$B$6),(G8*I8)),0)</f>
        <v>0</v>
      </c>
      <c r="K8" s="14">
        <f>IF(H8&lt;&gt;0,VLOOKUP(H8,GRAINLOOKUP!$A$2:$D$200,4,0),0)</f>
        <v>0</v>
      </c>
      <c r="L8" s="14">
        <f>IF(H8&lt;&gt;0,IF(VLOOKUP(H8,GRAINLOOKUP!$A$2:$E$200,5,0)="y",VLOOKUP(ROUND($G$29,0),$G$33:$H$49,2,0)*K8,(K8)),0)</f>
        <v>0</v>
      </c>
      <c r="M8" s="15">
        <f>IF(H8&lt;&gt;0,IF(VLOOKUP(H8,GRAINLOOKUP!$A$2:$E$200,5,0)="y",VLOOKUP($J$29,$J$33:$K$39,2,0)*L8,(L8)),0)</f>
        <v>0</v>
      </c>
      <c r="N8" s="15">
        <f>IF(H8&lt;&gt;0,IF(K8&lt;0.85,(VLOOKUP($I$26,YEASTLOOKUP!$A$2:$B$120,2,0)/YEASTLOOKUP!$F$128)*M8*Brewhouse!C32,(M8)),0)</f>
        <v>0</v>
      </c>
      <c r="O8" s="15">
        <f t="shared" si="2"/>
        <v>0</v>
      </c>
      <c r="P8">
        <f>IF(H8&lt;&gt;0,IF(VLOOKUP(H8,GRAINLOOKUP!$A$2:$C$200,3,0)="y",(G8*I8*Recipe!$B$6),(0)),0)</f>
        <v>0</v>
      </c>
      <c r="Q8">
        <f>IF(H8&lt;&gt;0,IF(VLOOKUP(H8,GRAINLOOKUP!$A$2:$C$200,3,0)="y",(0),(G8*I8)),0)</f>
        <v>0</v>
      </c>
      <c r="R8">
        <f t="shared" si="3"/>
        <v>0</v>
      </c>
      <c r="X8">
        <f t="shared" si="4"/>
        <v>0</v>
      </c>
    </row>
    <row r="9" spans="1:24" x14ac:dyDescent="0.25">
      <c r="B9">
        <f t="shared" si="0"/>
        <v>0</v>
      </c>
      <c r="C9">
        <f>IF(H9&lt;&gt;0,VLOOKUP(H9,GRAINLOOKUP!$A$2:$G$200,7,0),0)</f>
        <v>0</v>
      </c>
      <c r="D9">
        <f t="shared" si="1"/>
        <v>0</v>
      </c>
      <c r="E9">
        <f>IF(H9&lt;&gt;0,VLOOKUP(H9,GRAINLOOKUP!$A$2:$F$200,6,0),0)</f>
        <v>0</v>
      </c>
      <c r="F9" s="14">
        <f>IF(G9&lt;&gt;0,(IF(VLOOKUP(H9,GRAINLOOKUP!$A$2:$E$200,5,0)="y",G9,0)),0)</f>
        <v>0</v>
      </c>
      <c r="G9" s="14">
        <f>IF(Brewhouse!V17="Metric", Recipe!B20*2.20462262, Recipe!B20)</f>
        <v>0</v>
      </c>
      <c r="H9" s="14" t="str">
        <f>Recipe!D20</f>
        <v>---Select Grain/Fermentable---</v>
      </c>
      <c r="I9" s="14">
        <f>(IF(H9&lt;&gt;"",VLOOKUP(H9,GRAINLOOKUP!$A$2:$B$200,2,0),0))/1000</f>
        <v>0</v>
      </c>
      <c r="J9" s="15">
        <f>IF(H9&lt;&gt;0,IF(VLOOKUP(H9,GRAINLOOKUP!$A$2:$C$200,3,0)="y",(G9*I9*Recipe!$B$6),(G9*I9)),0)</f>
        <v>0</v>
      </c>
      <c r="K9" s="14">
        <f>IF(H9&lt;&gt;0,VLOOKUP(H9,GRAINLOOKUP!$A$2:$D$200,4,0),0)</f>
        <v>0</v>
      </c>
      <c r="L9" s="14">
        <f>IF(H9&lt;&gt;0,IF(VLOOKUP(H9,GRAINLOOKUP!$A$2:$E$200,5,0)="y",VLOOKUP(ROUND($G$29,0),$G$33:$H$49,2,0)*K9,(K9)),0)</f>
        <v>0</v>
      </c>
      <c r="M9" s="15">
        <f>IF(H9&lt;&gt;0,IF(VLOOKUP(H9,GRAINLOOKUP!$A$2:$E$200,5,0)="y",VLOOKUP($J$29,$J$33:$K$39,2,0)*L9,(L9)),0)</f>
        <v>0</v>
      </c>
      <c r="N9" s="15">
        <f>IF(H9&lt;&gt;0,IF(K9&lt;0.85,(VLOOKUP($I$26,YEASTLOOKUP!$A$2:$B$120,2,0)/YEASTLOOKUP!$F$128)*M9*Brewhouse!C32,(M9)),0)</f>
        <v>0</v>
      </c>
      <c r="O9" s="15">
        <f t="shared" si="2"/>
        <v>0</v>
      </c>
      <c r="P9">
        <f>IF(H9&lt;&gt;0,IF(VLOOKUP(H9,GRAINLOOKUP!$A$2:$C$200,3,0)="y",(G9*I9*Recipe!$B$6),(0)),0)</f>
        <v>0</v>
      </c>
      <c r="Q9">
        <f>IF(H9&lt;&gt;0,IF(VLOOKUP(H9,GRAINLOOKUP!$A$2:$C$200,3,0)="y",(0),(G9*I9)),0)</f>
        <v>0</v>
      </c>
      <c r="R9">
        <f t="shared" si="3"/>
        <v>0</v>
      </c>
      <c r="X9">
        <f t="shared" si="4"/>
        <v>0</v>
      </c>
    </row>
    <row r="10" spans="1:24" x14ac:dyDescent="0.25">
      <c r="B10">
        <f t="shared" si="0"/>
        <v>0</v>
      </c>
      <c r="C10">
        <f>IF(H10&lt;&gt;0,VLOOKUP(H10,GRAINLOOKUP!$A$2:$G$200,7,0),0)</f>
        <v>0</v>
      </c>
      <c r="D10">
        <f t="shared" si="1"/>
        <v>0</v>
      </c>
      <c r="E10">
        <f>IF(H10&lt;&gt;0,VLOOKUP(H10,GRAINLOOKUP!$A$2:$F$200,6,0),0)</f>
        <v>0</v>
      </c>
      <c r="F10" s="14">
        <f>IF(G10&lt;&gt;0,(IF(VLOOKUP(H10,GRAINLOOKUP!$A$2:$E$200,5,0)="y",G10,0)),0)</f>
        <v>0</v>
      </c>
      <c r="G10" s="14">
        <f>IF(Brewhouse!V17="Metric", Recipe!B21*2.20462262, Recipe!B21)</f>
        <v>0</v>
      </c>
      <c r="H10" s="14" t="str">
        <f>Recipe!D21</f>
        <v>---Select Grain/Fermentable---</v>
      </c>
      <c r="I10" s="14">
        <f>(IF(H10&lt;&gt;"",VLOOKUP(H10,GRAINLOOKUP!$A$2:$B$200,2,0),0))/1000</f>
        <v>0</v>
      </c>
      <c r="J10" s="15">
        <f>IF(H10&lt;&gt;0,IF(VLOOKUP(H10,GRAINLOOKUP!$A$2:$C$200,3,0)="y",(G10*I10*Recipe!$B$6),(G10*I10)),0)</f>
        <v>0</v>
      </c>
      <c r="K10" s="14">
        <f>IF(H10&lt;&gt;0,VLOOKUP(H10,GRAINLOOKUP!$A$2:$D$200,4,0),0)</f>
        <v>0</v>
      </c>
      <c r="L10" s="14">
        <f>IF(H10&lt;&gt;0,IF(VLOOKUP(H10,GRAINLOOKUP!$A$2:$E$200,5,0)="y",VLOOKUP(ROUND($G$29,0),$G$33:$H$49,2,0)*K10,(K10)),0)</f>
        <v>0</v>
      </c>
      <c r="M10" s="15">
        <f>IF(H10&lt;&gt;0,IF(VLOOKUP(H10,GRAINLOOKUP!$A$2:$E$200,5,0)="y",VLOOKUP($J$29,$J$33:$K$39,2,0)*L10,(L10)),0)</f>
        <v>0</v>
      </c>
      <c r="N10" s="15">
        <f>IF(H10&lt;&gt;0,IF(K10&lt;0.85,(VLOOKUP($I$26,YEASTLOOKUP!$A$2:$B$120,2,0)/YEASTLOOKUP!$F$128)*M10*Brewhouse!C32,(M10)),0)</f>
        <v>0</v>
      </c>
      <c r="O10" s="15">
        <f t="shared" si="2"/>
        <v>0</v>
      </c>
      <c r="P10">
        <f>IF(H10&lt;&gt;0,IF(VLOOKUP(H10,GRAINLOOKUP!$A$2:$C$200,3,0)="y",(G10*I10*Recipe!$B$6),(0)),0)</f>
        <v>0</v>
      </c>
      <c r="Q10">
        <f>IF(H10&lt;&gt;0,IF(VLOOKUP(H10,GRAINLOOKUP!$A$2:$C$200,3,0)="y",(0),(G10*I10)),0)</f>
        <v>0</v>
      </c>
      <c r="R10">
        <f t="shared" si="3"/>
        <v>0</v>
      </c>
      <c r="X10">
        <f t="shared" si="4"/>
        <v>0</v>
      </c>
    </row>
    <row r="11" spans="1:24" x14ac:dyDescent="0.25">
      <c r="B11">
        <f t="shared" si="0"/>
        <v>0</v>
      </c>
      <c r="C11">
        <f>IF(H11&lt;&gt;0,VLOOKUP(H11,GRAINLOOKUP!$A$2:$G$200,7,0),0)</f>
        <v>0</v>
      </c>
      <c r="D11">
        <f t="shared" si="1"/>
        <v>0</v>
      </c>
      <c r="E11">
        <f>IF(H11&lt;&gt;0,VLOOKUP(H11,GRAINLOOKUP!$A$2:$F$200,6,0),0)</f>
        <v>0</v>
      </c>
      <c r="F11" s="14">
        <f>IF(G11&lt;&gt;0,(IF(VLOOKUP(H11,GRAINLOOKUP!$A$2:$E$200,5,0)="y",G11,0)),0)</f>
        <v>0</v>
      </c>
      <c r="G11" s="14">
        <f>IF(Brewhouse!V17="Metric", Recipe!B22*2.20462262, Recipe!B22)</f>
        <v>0</v>
      </c>
      <c r="H11" s="14" t="str">
        <f>Recipe!D22</f>
        <v>---Select Grain/Fermentable---</v>
      </c>
      <c r="I11" s="14">
        <f>(IF(H11&lt;&gt;"",VLOOKUP(H11,GRAINLOOKUP!$A$2:$B$200,2,0),0))/1000</f>
        <v>0</v>
      </c>
      <c r="J11" s="15">
        <f>IF(H11&lt;&gt;0,IF(VLOOKUP(H11,GRAINLOOKUP!$A$2:$C$200,3,0)="y",(G11*I11*Recipe!$B$6),(G11*I11)),0)</f>
        <v>0</v>
      </c>
      <c r="K11" s="14">
        <f>IF(H11&lt;&gt;0,VLOOKUP(H11,GRAINLOOKUP!$A$2:$D$200,4,0),0)</f>
        <v>0</v>
      </c>
      <c r="L11" s="14">
        <f>IF(H11&lt;&gt;0,IF(VLOOKUP(H11,GRAINLOOKUP!$A$2:$E$200,5,0)="y",VLOOKUP(ROUND($G$29,0),$G$33:$H$49,2,0)*K11,(K11)),0)</f>
        <v>0</v>
      </c>
      <c r="M11" s="15">
        <f>IF(H11&lt;&gt;0,IF(VLOOKUP(H11,GRAINLOOKUP!$A$2:$E$200,5,0)="y",VLOOKUP($J$29,$J$33:$K$39,2,0)*L11,(L11)),0)</f>
        <v>0</v>
      </c>
      <c r="N11" s="15">
        <f>IF(H11&lt;&gt;0,IF(K11&lt;0.85,(VLOOKUP($I$26,YEASTLOOKUP!$A$2:$B$120,2,0)/YEASTLOOKUP!$F$128)*M11*Brewhouse!C32,(M11)),0)</f>
        <v>0</v>
      </c>
      <c r="O11" s="15">
        <f t="shared" si="2"/>
        <v>0</v>
      </c>
      <c r="P11">
        <f>IF(H11&lt;&gt;0,IF(VLOOKUP(H11,GRAINLOOKUP!$A$2:$C$200,3,0)="y",(G11*I11*Recipe!$B$6),(0)),0)</f>
        <v>0</v>
      </c>
      <c r="Q11">
        <f>IF(H11&lt;&gt;0,IF(VLOOKUP(H11,GRAINLOOKUP!$A$2:$C$200,3,0)="y",(0),(G11*I11)),0)</f>
        <v>0</v>
      </c>
      <c r="R11">
        <f t="shared" si="3"/>
        <v>0</v>
      </c>
      <c r="X11">
        <f t="shared" si="4"/>
        <v>0</v>
      </c>
    </row>
    <row r="12" spans="1:24" x14ac:dyDescent="0.25">
      <c r="B12">
        <f t="shared" si="0"/>
        <v>0</v>
      </c>
      <c r="C12">
        <f>IF(H12&lt;&gt;0,VLOOKUP(H12,GRAINLOOKUP!$A$2:$G$200,7,0),0)</f>
        <v>0</v>
      </c>
      <c r="D12">
        <f t="shared" si="1"/>
        <v>0</v>
      </c>
      <c r="E12">
        <f>IF(H12&lt;&gt;0,VLOOKUP(H12,GRAINLOOKUP!$A$2:$F$200,6,0),0)</f>
        <v>0</v>
      </c>
      <c r="F12" s="14">
        <f>IF(G12&lt;&gt;0,(IF(VLOOKUP(H12,GRAINLOOKUP!$A$2:$E$200,5,0)="y",G12,0)),0)</f>
        <v>0</v>
      </c>
      <c r="G12" s="14">
        <f>IF(Brewhouse!V17="Metric", Recipe!B23*2.20462262, Recipe!B23)</f>
        <v>0</v>
      </c>
      <c r="H12" s="14" t="str">
        <f>Recipe!D23</f>
        <v>---Select Grain/Fermentable---</v>
      </c>
      <c r="I12" s="14">
        <f>(IF(H12&lt;&gt;"",VLOOKUP(H12,GRAINLOOKUP!$A$2:$B$200,2,0),0))/1000</f>
        <v>0</v>
      </c>
      <c r="J12" s="15">
        <f>IF(H12&lt;&gt;0,IF(VLOOKUP(H12,GRAINLOOKUP!$A$2:$C$200,3,0)="y",(G12*I12*Recipe!$B$6),(G12*I12)),0)</f>
        <v>0</v>
      </c>
      <c r="K12" s="14">
        <f>IF(H12&lt;&gt;0,VLOOKUP(H12,GRAINLOOKUP!$A$2:$D$200,4,0),0)</f>
        <v>0</v>
      </c>
      <c r="L12" s="14">
        <f>IF(H12&lt;&gt;0,IF(VLOOKUP(H12,GRAINLOOKUP!$A$2:$E$200,5,0)="y",VLOOKUP(ROUND($G$29,0),$G$33:$H$49,2,0)*K12,(K12)),0)</f>
        <v>0</v>
      </c>
      <c r="M12" s="15">
        <f>IF(H12&lt;&gt;0,IF(VLOOKUP(H12,GRAINLOOKUP!$A$2:$E$200,5,0)="y",VLOOKUP($J$29,$J$33:$K$39,2,0)*L12,(L12)),0)</f>
        <v>0</v>
      </c>
      <c r="N12" s="15">
        <f>IF(H12&lt;&gt;0,IF(K12&lt;0.85,(VLOOKUP($I$26,YEASTLOOKUP!$A$2:$B$120,2,0)/YEASTLOOKUP!$F$128)*M12*Brewhouse!C32,(M12)),0)</f>
        <v>0</v>
      </c>
      <c r="O12" s="15">
        <f t="shared" si="2"/>
        <v>0</v>
      </c>
      <c r="P12">
        <f>IF(H12&lt;&gt;0,IF(VLOOKUP(H12,GRAINLOOKUP!$A$2:$C$200,3,0)="y",(G12*I12*Recipe!$B$6),(0)),0)</f>
        <v>0</v>
      </c>
      <c r="Q12">
        <f>IF(H12&lt;&gt;0,IF(VLOOKUP(H12,GRAINLOOKUP!$A$2:$C$200,3,0)="y",(0),(G12*I12)),0)</f>
        <v>0</v>
      </c>
      <c r="R12">
        <f t="shared" si="3"/>
        <v>0</v>
      </c>
      <c r="X12">
        <f t="shared" si="4"/>
        <v>0</v>
      </c>
    </row>
    <row r="13" spans="1:24" x14ac:dyDescent="0.25">
      <c r="B13">
        <f t="shared" si="0"/>
        <v>0</v>
      </c>
      <c r="C13">
        <f>IF(H13&lt;&gt;0,VLOOKUP(H13,GRAINLOOKUP!$A$2:$G$200,7,0),0)</f>
        <v>0</v>
      </c>
      <c r="D13">
        <f t="shared" si="1"/>
        <v>0</v>
      </c>
      <c r="E13">
        <f>IF(H13&lt;&gt;0,VLOOKUP(H13,GRAINLOOKUP!$A$2:$F$200,6,0),0)</f>
        <v>0</v>
      </c>
      <c r="F13" s="14">
        <f>IF(G13&lt;&gt;0,(IF(VLOOKUP(H13,GRAINLOOKUP!$A$2:$E$200,5,0)="y",G13,0)),0)</f>
        <v>0</v>
      </c>
      <c r="G13" s="14">
        <f>IF(Brewhouse!V17="Metric", Recipe!B24*2.20462262, Recipe!B24)</f>
        <v>0</v>
      </c>
      <c r="H13" s="14" t="str">
        <f>Recipe!D24</f>
        <v>---Select Grain/Fermentable---</v>
      </c>
      <c r="I13" s="14">
        <f>(IF(H13&lt;&gt;"",VLOOKUP(H13,GRAINLOOKUP!$A$2:$B$200,2,0),0))/1000</f>
        <v>0</v>
      </c>
      <c r="J13" s="15">
        <f>IF(H13&lt;&gt;0,IF(VLOOKUP(H13,GRAINLOOKUP!$A$2:$C$200,3,0)="y",(G13*I13*Recipe!$B$6),(G13*I13)),0)</f>
        <v>0</v>
      </c>
      <c r="K13" s="14">
        <f>IF(H13&lt;&gt;0,VLOOKUP(H13,GRAINLOOKUP!$A$2:$D$200,4,0),0)</f>
        <v>0</v>
      </c>
      <c r="L13" s="14">
        <f>IF(H13&lt;&gt;0,IF(VLOOKUP(H13,GRAINLOOKUP!$A$2:$E$200,5,0)="y",VLOOKUP(ROUND($G$29,0),$G$33:$H$49,2,0)*K13,(K13)),0)</f>
        <v>0</v>
      </c>
      <c r="M13" s="15">
        <f>IF(H13&lt;&gt;0,IF(VLOOKUP(H13,GRAINLOOKUP!$A$2:$E$200,5,0)="y",VLOOKUP($J$29,$J$33:$K$39,2,0)*L13,(L13)),0)</f>
        <v>0</v>
      </c>
      <c r="N13" s="15">
        <f>IF(H13&lt;&gt;0,IF(K13&lt;0.85,(VLOOKUP($I$26,YEASTLOOKUP!$A$2:$B$120,2,0)/YEASTLOOKUP!$F$128)*M13*Brewhouse!C32,(M13)),0)</f>
        <v>0</v>
      </c>
      <c r="O13" s="15">
        <f t="shared" si="2"/>
        <v>0</v>
      </c>
      <c r="P13">
        <f>IF(H13&lt;&gt;0,IF(VLOOKUP(H13,GRAINLOOKUP!$A$2:$C$200,3,0)="y",(G13*I13*Recipe!$B$6),(0)),0)</f>
        <v>0</v>
      </c>
      <c r="Q13">
        <f>IF(H13&lt;&gt;0,IF(VLOOKUP(H13,GRAINLOOKUP!$A$2:$C$200,3,0)="y",(0),(G13*I13)),0)</f>
        <v>0</v>
      </c>
      <c r="R13">
        <f t="shared" si="3"/>
        <v>0</v>
      </c>
      <c r="X13">
        <f t="shared" si="4"/>
        <v>0</v>
      </c>
    </row>
    <row r="14" spans="1:24" x14ac:dyDescent="0.25">
      <c r="B14">
        <f t="shared" si="0"/>
        <v>0</v>
      </c>
      <c r="C14">
        <f>IF(H14&lt;&gt;0,VLOOKUP(H14,GRAINLOOKUP!$A$2:$G$200,7,0),0)</f>
        <v>0</v>
      </c>
      <c r="D14">
        <f t="shared" si="1"/>
        <v>0</v>
      </c>
      <c r="E14">
        <f>IF(H14&lt;&gt;0,VLOOKUP(H14,GRAINLOOKUP!$A$2:$F$200,6,0),0)</f>
        <v>0</v>
      </c>
      <c r="F14" s="14">
        <f>IF(G14&lt;&gt;0,(IF(VLOOKUP(H14,GRAINLOOKUP!$A$2:$E$200,5,0)="y",G14,0)),0)</f>
        <v>0</v>
      </c>
      <c r="G14" s="14">
        <f>IF(Brewhouse!V17="Metric", Recipe!B25*2.20462262, Recipe!B25)</f>
        <v>0</v>
      </c>
      <c r="H14" s="14" t="str">
        <f>Recipe!D25</f>
        <v>---Select Grain/Fermentable---</v>
      </c>
      <c r="I14" s="14">
        <f>(IF(H14&lt;&gt;"",VLOOKUP(H14,GRAINLOOKUP!$A$2:$B$200,2,0),0))/1000</f>
        <v>0</v>
      </c>
      <c r="J14" s="15">
        <f>IF(H14&lt;&gt;0,IF(VLOOKUP(H14,GRAINLOOKUP!$A$2:$C$200,3,0)="y",(G14*I14*Recipe!$B$6),(G14*I14)),0)</f>
        <v>0</v>
      </c>
      <c r="K14" s="14">
        <f>IF(H14&lt;&gt;0,VLOOKUP(H14,GRAINLOOKUP!$A$2:$D$200,4,0),0)</f>
        <v>0</v>
      </c>
      <c r="L14" s="14">
        <f>IF(H14&lt;&gt;0,IF(VLOOKUP(H14,GRAINLOOKUP!$A$2:$E$200,5,0)="y",VLOOKUP(ROUND($G$29,0),$G$33:$H$49,2,0)*K14,(K14)),0)</f>
        <v>0</v>
      </c>
      <c r="M14" s="15">
        <f>IF(H14&lt;&gt;0,IF(VLOOKUP(H14,GRAINLOOKUP!$A$2:$E$200,5,0)="y",VLOOKUP($J$29,$J$33:$K$39,2,0)*L14,(L14)),0)</f>
        <v>0</v>
      </c>
      <c r="N14" s="15">
        <f>IF(H14&lt;&gt;0,IF(K14&lt;0.85,(VLOOKUP($I$26,YEASTLOOKUP!$A$2:$B$120,2,0)/YEASTLOOKUP!$F$128)*M14*Brewhouse!C32,(M14)),0)</f>
        <v>0</v>
      </c>
      <c r="O14" s="15">
        <f t="shared" si="2"/>
        <v>0</v>
      </c>
      <c r="P14">
        <f>IF(H14&lt;&gt;0,IF(VLOOKUP(H14,GRAINLOOKUP!$A$2:$C$200,3,0)="y",(G14*I14*Recipe!$B$6),(0)),0)</f>
        <v>0</v>
      </c>
      <c r="Q14">
        <f>IF(H14&lt;&gt;0,IF(VLOOKUP(H14,GRAINLOOKUP!$A$2:$C$200,3,0)="y",(0),(G14*I14)),0)</f>
        <v>0</v>
      </c>
      <c r="R14">
        <f t="shared" si="3"/>
        <v>0</v>
      </c>
      <c r="S14" t="s">
        <v>137</v>
      </c>
      <c r="T14">
        <f>Recipe!G53</f>
        <v>0.75295654860852645</v>
      </c>
      <c r="X14">
        <f t="shared" si="4"/>
        <v>0</v>
      </c>
    </row>
    <row r="15" spans="1:24" x14ac:dyDescent="0.25">
      <c r="B15">
        <f t="shared" si="0"/>
        <v>0</v>
      </c>
      <c r="C15">
        <f>IF(H15&lt;&gt;0,VLOOKUP(H15,GRAINLOOKUP!$A$2:$G$200,7,0),0)</f>
        <v>0</v>
      </c>
      <c r="D15">
        <f t="shared" si="1"/>
        <v>0</v>
      </c>
      <c r="E15">
        <f>IF(H15&lt;&gt;0,VLOOKUP(H15,GRAINLOOKUP!$A$2:$F$200,6,0),0)</f>
        <v>0</v>
      </c>
      <c r="F15" s="14">
        <f>IF(G15&lt;&gt;0,(IF(VLOOKUP(H15,GRAINLOOKUP!$A$2:$E$200,5,0)="y",G15,0)),0)</f>
        <v>0</v>
      </c>
      <c r="G15" s="14">
        <f>IF(Brewhouse!V17="Metric", Recipe!B26*2.20462262, Recipe!B26)</f>
        <v>0</v>
      </c>
      <c r="H15" s="14" t="str">
        <f>Recipe!D26</f>
        <v>---Select Grain/Fermentable---</v>
      </c>
      <c r="I15" s="14">
        <f>(IF(H15&lt;&gt;"",VLOOKUP(H15,GRAINLOOKUP!$A$2:$B$200,2,0),0))/1000</f>
        <v>0</v>
      </c>
      <c r="J15" s="15">
        <f>IF(H15&lt;&gt;0,IF(VLOOKUP(H15,GRAINLOOKUP!$A$2:$C$200,3,0)="y",(G15*I15*Recipe!$B$6),(G15*I15)),0)</f>
        <v>0</v>
      </c>
      <c r="K15" s="14">
        <f>IF(H15&lt;&gt;0,VLOOKUP(H15,GRAINLOOKUP!$A$2:$D$200,4,0),0)</f>
        <v>0</v>
      </c>
      <c r="L15" s="14">
        <f>IF(H15&lt;&gt;0,IF(VLOOKUP(H15,GRAINLOOKUP!$A$2:$E$200,5,0)="y",VLOOKUP(ROUND($G$29,0),$G$33:$H$49,2,0)*K15,(K15)),0)</f>
        <v>0</v>
      </c>
      <c r="M15" s="15">
        <f>IF(H15&lt;&gt;0,IF(VLOOKUP(H15,GRAINLOOKUP!$A$2:$E$200,5,0)="y",VLOOKUP($J$29,$J$33:$K$39,2,0)*L15,(L15)),0)</f>
        <v>0</v>
      </c>
      <c r="N15" s="15">
        <f>IF(H15&lt;&gt;0,IF(K15&lt;0.85,(VLOOKUP($I$26,YEASTLOOKUP!$A$2:$B$120,2,0)/YEASTLOOKUP!$F$128)*M15*Brewhouse!C32,(M15)),0)</f>
        <v>0</v>
      </c>
      <c r="O15" s="15">
        <f t="shared" si="2"/>
        <v>0</v>
      </c>
      <c r="P15">
        <f>IF(H15&lt;&gt;0,IF(VLOOKUP(H15,GRAINLOOKUP!$A$2:$C$200,3,0)="y",(G15*I15*Recipe!$B$6),(0)),0)</f>
        <v>0</v>
      </c>
      <c r="Q15">
        <f>IF(H15&lt;&gt;0,IF(VLOOKUP(H15,GRAINLOOKUP!$A$2:$C$200,3,0)="y",(0),(G15*I15)),0)</f>
        <v>0</v>
      </c>
      <c r="R15">
        <f t="shared" si="3"/>
        <v>0</v>
      </c>
      <c r="S15" t="s">
        <v>747</v>
      </c>
      <c r="X15">
        <f t="shared" si="4"/>
        <v>0</v>
      </c>
    </row>
    <row r="16" spans="1:24" x14ac:dyDescent="0.25">
      <c r="A16" t="s">
        <v>348</v>
      </c>
      <c r="B16">
        <f>SUM(B2:B15)</f>
        <v>969.52</v>
      </c>
      <c r="C16" t="s">
        <v>262</v>
      </c>
      <c r="D16">
        <f>SUM(D2:D15)</f>
        <v>37.864339152119697</v>
      </c>
      <c r="F16" s="14"/>
      <c r="G16" s="14">
        <f>IF(Brewhouse!V17="Metric", Recipe!B27*2.20462262, Recipe!B27)</f>
        <v>0</v>
      </c>
      <c r="H16" s="14">
        <f>Recipe!D27</f>
        <v>0</v>
      </c>
      <c r="I16" s="14"/>
      <c r="J16" s="14">
        <f>SUM(J2:J15)</f>
        <v>0.31952857999999995</v>
      </c>
      <c r="K16" s="14"/>
      <c r="L16" s="14"/>
      <c r="M16" s="14"/>
      <c r="N16" s="17"/>
      <c r="O16" s="14"/>
      <c r="P16">
        <f>SUM(P2:P15)</f>
        <v>0.31952857999999995</v>
      </c>
      <c r="R16" s="14">
        <f>SUM(R2:R15)</f>
        <v>0.24059113677858343</v>
      </c>
      <c r="S16">
        <f>R16/J16</f>
        <v>0.75295654860852657</v>
      </c>
      <c r="W16" s="1" t="s">
        <v>802</v>
      </c>
      <c r="X16">
        <f>SUM(X2:X15)</f>
        <v>456.46940000000006</v>
      </c>
    </row>
    <row r="17" spans="1:20" x14ac:dyDescent="0.25">
      <c r="A17" t="s">
        <v>349</v>
      </c>
      <c r="B17">
        <f>B16/F17</f>
        <v>77.315427678272371</v>
      </c>
      <c r="F17" s="14">
        <f>SUM(F2:F16)</f>
        <v>12.539800000000001</v>
      </c>
      <c r="G17" s="14">
        <f>SUM(G2:G16)</f>
        <v>12.539800000000001</v>
      </c>
      <c r="H17" s="14" t="s">
        <v>74</v>
      </c>
      <c r="I17" s="14"/>
      <c r="J17" s="14"/>
      <c r="K17" s="14"/>
      <c r="L17" s="14"/>
      <c r="M17" s="14"/>
      <c r="N17" s="14"/>
      <c r="O17" s="14"/>
      <c r="S17">
        <f>-(0.0976*(S16))+1.119</f>
        <v>1.0455114408558077</v>
      </c>
      <c r="T17" t="s">
        <v>751</v>
      </c>
    </row>
    <row r="18" spans="1:20" x14ac:dyDescent="0.25">
      <c r="A18" t="s">
        <v>351</v>
      </c>
      <c r="B18" t="str">
        <f>IF(B17&gt;35, "(Good)",  IF(B17&gt;25, "(Marginal)", "(Poor)")                                        )</f>
        <v>(Good)</v>
      </c>
      <c r="F18" s="14"/>
      <c r="G18" s="14"/>
      <c r="H18" s="14"/>
      <c r="I18" s="14"/>
      <c r="J18" s="14"/>
      <c r="K18" s="14"/>
      <c r="L18" s="14"/>
      <c r="M18" s="14"/>
      <c r="N18" s="14"/>
      <c r="O18" s="14"/>
    </row>
    <row r="19" spans="1:20" x14ac:dyDescent="0.25">
      <c r="A19" t="s">
        <v>1007</v>
      </c>
      <c r="D19">
        <f>'Total H2O Sub'!D18+'Total H2O Sub'!D12+'Total H2O Sub'!D15+'Total H2O Sub'!D16</f>
        <v>5.0125000000000002</v>
      </c>
      <c r="F19" s="14"/>
      <c r="G19" s="14"/>
      <c r="H19" s="14"/>
      <c r="I19" s="14"/>
      <c r="J19" s="14"/>
      <c r="K19" s="14"/>
      <c r="L19" s="14"/>
      <c r="M19" s="14"/>
      <c r="N19" s="14"/>
      <c r="O19" s="14"/>
    </row>
    <row r="20" spans="1:20" x14ac:dyDescent="0.25">
      <c r="F20" s="14"/>
      <c r="G20" s="14"/>
      <c r="H20" s="14"/>
      <c r="I20" s="14"/>
      <c r="J20" s="14"/>
      <c r="K20" s="14"/>
      <c r="L20" s="14"/>
      <c r="M20" s="14"/>
      <c r="N20" s="14"/>
      <c r="O20" s="14"/>
    </row>
    <row r="21" spans="1:20" x14ac:dyDescent="0.25">
      <c r="C21" s="11" t="s">
        <v>256</v>
      </c>
      <c r="D21" s="11">
        <f>1.4922*(D16^0.6859)</f>
        <v>18.0441012056937</v>
      </c>
      <c r="E21" s="11"/>
      <c r="F21" s="14"/>
      <c r="G21" s="14"/>
      <c r="H21" s="16" t="s">
        <v>74</v>
      </c>
      <c r="I21" s="14"/>
      <c r="J21" s="14">
        <f>SUM(J2:J15)</f>
        <v>0.31952857999999995</v>
      </c>
      <c r="L21" s="14"/>
      <c r="M21" s="14"/>
      <c r="N21" s="14"/>
      <c r="O21" s="14">
        <f>SUM(O2:O16)</f>
        <v>7.8937443221416548E-2</v>
      </c>
      <c r="P21" s="14">
        <f>SUM(P2:P15)</f>
        <v>0.31952857999999995</v>
      </c>
      <c r="Q21" s="14">
        <f>SUM(Q2:Q16)</f>
        <v>0</v>
      </c>
    </row>
    <row r="22" spans="1:20" x14ac:dyDescent="0.25">
      <c r="F22" s="14"/>
      <c r="G22" s="14"/>
      <c r="H22" s="16" t="s">
        <v>138</v>
      </c>
      <c r="I22" s="297" t="s">
        <v>825</v>
      </c>
      <c r="J22" s="14">
        <f>J21/'Total H2O Sub'!D23</f>
        <v>5.1433171830985905E-2</v>
      </c>
      <c r="K22" s="14">
        <f xml:space="preserve"> (-1 * 616.868) + (1111.14 * (1+J22)) - (630.272 * (1+J22)^2) + (135.997 * (1+J22)^3)</f>
        <v>12.727437585076672</v>
      </c>
      <c r="L22" s="304" t="s">
        <v>824</v>
      </c>
      <c r="M22" s="14"/>
      <c r="N22" s="14"/>
      <c r="O22" s="14"/>
      <c r="P22">
        <f>P21/'Total H2O Sub'!D22</f>
        <v>5.1433171830985905E-2</v>
      </c>
    </row>
    <row r="23" spans="1:20" x14ac:dyDescent="0.25">
      <c r="A23" t="s">
        <v>1310</v>
      </c>
      <c r="B23" t="s">
        <v>1312</v>
      </c>
      <c r="E23" s="99" t="s">
        <v>1005</v>
      </c>
      <c r="F23" s="14">
        <f>J21/(HopCalc!C6+'Total H2O Sub'!D12+'Total H2O Sub'!D15+'Total H2O Sub'!D16+'Total H2O Sub'!B4)</f>
        <v>6.3746350124688267E-2</v>
      </c>
      <c r="G23" s="41" t="s">
        <v>1004</v>
      </c>
      <c r="H23" s="16" t="s">
        <v>78</v>
      </c>
      <c r="I23" s="297" t="s">
        <v>825</v>
      </c>
      <c r="J23" s="14">
        <f>J21/(HopCalc!C6+'Total H2O Sub'!D12+'Total H2O Sub'!D15+'Total H2O Sub'!D16)</f>
        <v>6.3746350124688267E-2</v>
      </c>
      <c r="K23" s="14">
        <f xml:space="preserve"> (-1 * 616.868) + (1111.14 * (1+J23)) - (630.272 * (1+J23)^2) + (135.997 * (1+J23)^3)</f>
        <v>15.612945593763584</v>
      </c>
      <c r="L23" s="304" t="s">
        <v>824</v>
      </c>
      <c r="M23" s="14"/>
      <c r="N23" s="297" t="s">
        <v>825</v>
      </c>
      <c r="O23" s="14">
        <f>O21/(HopCalc!C6+'Total H2O Sub'!D12+ 'Total H2O Sub'!D15+'Total H2O Sub'!D16)</f>
        <v>1.5748118348412277E-2</v>
      </c>
      <c r="P23" s="14">
        <f>P21/(HopCalc!C6+'Total H2O Sub'!D12+'Total H2O Sub'!D15+'Total H2O Sub'!D16)</f>
        <v>6.3746350124688267E-2</v>
      </c>
      <c r="Q23" s="14">
        <f>Q21/(HopCalc!C6+'Total H2O Sub'!D12+'Total H2O Sub'!D15+'Total H2O Sub'!D16)</f>
        <v>0</v>
      </c>
    </row>
    <row r="24" spans="1:20" x14ac:dyDescent="0.25">
      <c r="A24" t="s">
        <v>1311</v>
      </c>
      <c r="B24" t="s">
        <v>838</v>
      </c>
      <c r="F24" s="14"/>
      <c r="G24" s="14"/>
      <c r="H24" s="16" t="s">
        <v>79</v>
      </c>
      <c r="I24" s="14"/>
      <c r="J24" s="14"/>
      <c r="K24" s="14"/>
      <c r="L24" s="14">
        <f>(J23-O23)/J23</f>
        <v>0.75295654860852645</v>
      </c>
      <c r="M24" s="14"/>
      <c r="N24" s="305" t="s">
        <v>826</v>
      </c>
      <c r="O24" s="14">
        <f xml:space="preserve"> (-1 * 616.868) + (1111.14 * (1+O23)) - (630.272 * (1+O23)^2) + (135.997 * (1+O23)^3)</f>
        <v>4.0146634207963814</v>
      </c>
    </row>
    <row r="25" spans="1:20" x14ac:dyDescent="0.25">
      <c r="A25" t="s">
        <v>302</v>
      </c>
      <c r="B25" t="s">
        <v>1313</v>
      </c>
      <c r="F25" s="14"/>
      <c r="G25" s="14"/>
      <c r="H25" s="14" t="s">
        <v>154</v>
      </c>
      <c r="I25" s="14"/>
      <c r="J25" s="14"/>
      <c r="K25" s="14"/>
      <c r="L25" s="14">
        <f>(J22+J23)/2</f>
        <v>5.7589760977837086E-2</v>
      </c>
      <c r="M25" s="14"/>
      <c r="N25" s="14" t="s">
        <v>1006</v>
      </c>
      <c r="O25" s="14"/>
      <c r="Q25">
        <f>(J22+F23)/2</f>
        <v>5.7589760977837086E-2</v>
      </c>
    </row>
    <row r="26" spans="1:20" x14ac:dyDescent="0.25">
      <c r="A26" t="s">
        <v>1314</v>
      </c>
      <c r="B26" t="s">
        <v>1316</v>
      </c>
      <c r="F26" s="14"/>
      <c r="G26" s="14"/>
      <c r="H26" s="16" t="s">
        <v>82</v>
      </c>
      <c r="I26" s="14" t="str">
        <f>Recipe!B42</f>
        <v>Wyeast 1098 - British Ale</v>
      </c>
      <c r="J26" s="14"/>
      <c r="K26" s="17"/>
      <c r="L26" s="14"/>
      <c r="M26" s="14"/>
      <c r="N26" s="14"/>
      <c r="O26" s="14"/>
    </row>
    <row r="27" spans="1:20" x14ac:dyDescent="0.25">
      <c r="A27" t="s">
        <v>1315</v>
      </c>
      <c r="B27" t="s">
        <v>645</v>
      </c>
      <c r="F27" s="14"/>
      <c r="G27" s="14"/>
      <c r="H27" s="14"/>
      <c r="I27" s="14"/>
      <c r="J27" s="14"/>
      <c r="K27" s="14"/>
      <c r="L27" s="14"/>
      <c r="M27" s="14"/>
      <c r="N27" s="14"/>
      <c r="O27" s="14"/>
    </row>
    <row r="28" spans="1:20" x14ac:dyDescent="0.25">
      <c r="A28" t="s">
        <v>839</v>
      </c>
      <c r="B28" t="s">
        <v>1317</v>
      </c>
      <c r="F28" s="14"/>
      <c r="G28" s="14"/>
      <c r="H28" s="14"/>
      <c r="I28" s="14"/>
      <c r="J28" s="14"/>
      <c r="K28" s="14"/>
      <c r="L28" s="14"/>
      <c r="M28" s="14"/>
      <c r="N28" s="14"/>
      <c r="O28" s="14"/>
    </row>
    <row r="29" spans="1:20" x14ac:dyDescent="0.25">
      <c r="A29" t="s">
        <v>1318</v>
      </c>
      <c r="B29" t="s">
        <v>1320</v>
      </c>
      <c r="F29" s="14"/>
      <c r="G29" s="14">
        <f>'H20 Temps Sub'!L21</f>
        <v>154</v>
      </c>
      <c r="H29" s="16" t="s">
        <v>792</v>
      </c>
      <c r="I29" s="14"/>
      <c r="J29" s="14">
        <f>Recipe!M3</f>
        <v>60</v>
      </c>
      <c r="K29" s="16" t="s">
        <v>86</v>
      </c>
      <c r="L29" s="14"/>
      <c r="M29" s="14"/>
      <c r="N29" s="14"/>
      <c r="O29" s="14"/>
    </row>
    <row r="30" spans="1:20" x14ac:dyDescent="0.25">
      <c r="A30" t="s">
        <v>1090</v>
      </c>
      <c r="B30" t="s">
        <v>286</v>
      </c>
      <c r="F30" s="14"/>
      <c r="G30" s="16"/>
      <c r="H30" s="16"/>
      <c r="I30" s="14"/>
      <c r="J30" s="14"/>
      <c r="K30" s="14"/>
      <c r="L30" s="14"/>
      <c r="M30" s="14"/>
      <c r="N30" s="14"/>
      <c r="O30" s="14"/>
    </row>
    <row r="31" spans="1:20" x14ac:dyDescent="0.25">
      <c r="A31" t="s">
        <v>1319</v>
      </c>
      <c r="B31" t="s">
        <v>1024</v>
      </c>
      <c r="F31" s="14"/>
      <c r="G31" s="16" t="s">
        <v>89</v>
      </c>
      <c r="H31" s="14"/>
      <c r="I31" s="14"/>
      <c r="J31" s="124" t="s">
        <v>90</v>
      </c>
      <c r="K31" s="124"/>
      <c r="L31" s="14"/>
      <c r="M31" s="786" t="s">
        <v>370</v>
      </c>
      <c r="N31" s="786"/>
      <c r="O31" s="14" t="s">
        <v>373</v>
      </c>
    </row>
    <row r="32" spans="1:20" x14ac:dyDescent="0.25">
      <c r="A32" t="s">
        <v>1321</v>
      </c>
      <c r="B32" t="s">
        <v>1326</v>
      </c>
      <c r="F32" s="14"/>
      <c r="G32" s="16" t="s">
        <v>92</v>
      </c>
      <c r="H32" s="16" t="s">
        <v>93</v>
      </c>
      <c r="I32" s="14"/>
      <c r="J32" s="124" t="s">
        <v>94</v>
      </c>
      <c r="K32" s="124" t="s">
        <v>95</v>
      </c>
      <c r="L32" s="14"/>
      <c r="M32" s="14" t="s">
        <v>369</v>
      </c>
      <c r="N32" s="14" t="s">
        <v>371</v>
      </c>
      <c r="O32" s="14" t="s">
        <v>374</v>
      </c>
    </row>
    <row r="33" spans="1:15" x14ac:dyDescent="0.25">
      <c r="A33" t="s">
        <v>1322</v>
      </c>
      <c r="B33" t="s">
        <v>1327</v>
      </c>
      <c r="F33" s="14"/>
      <c r="G33" s="14">
        <v>144</v>
      </c>
      <c r="H33" s="14">
        <v>0.9825978868862647</v>
      </c>
      <c r="I33" s="14"/>
      <c r="J33" s="124">
        <v>280</v>
      </c>
      <c r="K33" s="125">
        <f>O38</f>
        <v>1.0553462081959493</v>
      </c>
      <c r="L33" s="14"/>
      <c r="M33" s="14"/>
      <c r="N33" s="14" t="s">
        <v>372</v>
      </c>
      <c r="O33" s="14"/>
    </row>
    <row r="34" spans="1:15" x14ac:dyDescent="0.25">
      <c r="A34" t="s">
        <v>1323</v>
      </c>
      <c r="B34" t="s">
        <v>1328</v>
      </c>
      <c r="F34" s="14"/>
      <c r="G34" s="14">
        <v>145</v>
      </c>
      <c r="H34" s="14">
        <v>0.98508390304536975</v>
      </c>
      <c r="I34" s="14"/>
      <c r="J34" s="124">
        <v>90</v>
      </c>
      <c r="K34" s="125">
        <f>O37</f>
        <v>1.0328544512482336</v>
      </c>
      <c r="L34" s="14"/>
      <c r="M34" s="14">
        <v>15</v>
      </c>
      <c r="N34" s="14">
        <v>77.73</v>
      </c>
      <c r="O34" s="14">
        <f>N34/$N$36</f>
        <v>0.91533207724917587</v>
      </c>
    </row>
    <row r="35" spans="1:15" x14ac:dyDescent="0.25">
      <c r="A35" t="s">
        <v>1324</v>
      </c>
      <c r="B35" t="s">
        <v>1329</v>
      </c>
      <c r="F35" s="14"/>
      <c r="G35" s="14">
        <v>146</v>
      </c>
      <c r="H35" s="14">
        <v>0.98756991920447479</v>
      </c>
      <c r="I35" s="14"/>
      <c r="J35" s="124">
        <v>75</v>
      </c>
      <c r="K35" s="125">
        <f>N43</f>
        <v>1.0325</v>
      </c>
      <c r="L35" s="14"/>
      <c r="M35" s="14">
        <v>30</v>
      </c>
      <c r="N35" s="14">
        <v>81.400000000000006</v>
      </c>
      <c r="O35" s="14">
        <f>N35/$N$36</f>
        <v>0.95854922279792765</v>
      </c>
    </row>
    <row r="36" spans="1:15" x14ac:dyDescent="0.25">
      <c r="A36" t="s">
        <v>1325</v>
      </c>
      <c r="B36" t="s">
        <v>1325</v>
      </c>
      <c r="F36" s="14"/>
      <c r="G36" s="14">
        <v>147</v>
      </c>
      <c r="H36" s="14">
        <v>0.99005593536357994</v>
      </c>
      <c r="I36" s="14"/>
      <c r="J36" s="124">
        <v>60</v>
      </c>
      <c r="K36" s="125">
        <v>1</v>
      </c>
      <c r="L36" s="14"/>
      <c r="M36" s="14">
        <v>60</v>
      </c>
      <c r="N36">
        <f>(84.07+85.77)/2</f>
        <v>84.919999999999987</v>
      </c>
      <c r="O36" s="14">
        <f>N36/$N$36</f>
        <v>1</v>
      </c>
    </row>
    <row r="37" spans="1:15" x14ac:dyDescent="0.25">
      <c r="A37" t="s">
        <v>1330</v>
      </c>
      <c r="F37" s="14"/>
      <c r="G37" s="14">
        <v>148</v>
      </c>
      <c r="H37" s="14">
        <v>0.99254195152268498</v>
      </c>
      <c r="I37" s="14"/>
      <c r="J37" s="124">
        <v>45</v>
      </c>
      <c r="K37" s="124">
        <f>N41</f>
        <v>0.96589999999999998</v>
      </c>
      <c r="L37" s="14"/>
      <c r="M37" s="14">
        <v>90</v>
      </c>
      <c r="N37" s="14">
        <v>87.71</v>
      </c>
      <c r="O37" s="14">
        <f>N37/$N$36</f>
        <v>1.0328544512482336</v>
      </c>
    </row>
    <row r="38" spans="1:15" x14ac:dyDescent="0.25">
      <c r="A38" t="s">
        <v>1331</v>
      </c>
      <c r="F38" s="14"/>
      <c r="G38" s="14">
        <v>149</v>
      </c>
      <c r="H38" s="14">
        <v>0.99502796768178992</v>
      </c>
      <c r="I38" s="14"/>
      <c r="J38" s="124">
        <v>30</v>
      </c>
      <c r="K38" s="124">
        <f>O35</f>
        <v>0.95854922279792765</v>
      </c>
      <c r="L38" s="14"/>
      <c r="M38" s="14">
        <v>280</v>
      </c>
      <c r="N38" s="14">
        <v>89.62</v>
      </c>
      <c r="O38" s="14">
        <f>N38/$N$36</f>
        <v>1.0553462081959493</v>
      </c>
    </row>
    <row r="39" spans="1:15" x14ac:dyDescent="0.25">
      <c r="A39" t="s">
        <v>1332</v>
      </c>
      <c r="F39" s="14"/>
      <c r="G39" s="14">
        <v>150</v>
      </c>
      <c r="H39" s="14">
        <v>0.99751398384089496</v>
      </c>
      <c r="I39" s="14"/>
      <c r="J39" s="124">
        <v>15</v>
      </c>
      <c r="K39" s="124">
        <f>O34</f>
        <v>0.91533207724917587</v>
      </c>
      <c r="L39" s="14"/>
      <c r="M39" s="14"/>
      <c r="N39" s="14"/>
      <c r="O39" s="14"/>
    </row>
    <row r="40" spans="1:15" x14ac:dyDescent="0.25">
      <c r="A40" t="s">
        <v>1333</v>
      </c>
      <c r="F40" s="14"/>
      <c r="G40" s="14">
        <v>151</v>
      </c>
      <c r="H40" s="14">
        <v>1</v>
      </c>
      <c r="I40" s="14"/>
      <c r="J40" s="14"/>
      <c r="K40" s="14"/>
      <c r="L40" s="14"/>
      <c r="M40" s="14" t="s">
        <v>375</v>
      </c>
      <c r="N40" s="14" t="s">
        <v>371</v>
      </c>
      <c r="O40" s="14"/>
    </row>
    <row r="41" spans="1:15" x14ac:dyDescent="0.25">
      <c r="F41" s="14"/>
      <c r="G41" s="14">
        <v>152</v>
      </c>
      <c r="H41" s="14">
        <v>0.98839632712621739</v>
      </c>
      <c r="I41" s="14"/>
      <c r="J41" s="14"/>
      <c r="K41" s="14"/>
      <c r="L41" s="14"/>
      <c r="M41" s="14">
        <v>45</v>
      </c>
      <c r="N41" s="14">
        <v>0.96589999999999998</v>
      </c>
      <c r="O41" s="14"/>
    </row>
    <row r="42" spans="1:15" x14ac:dyDescent="0.25">
      <c r="F42" s="14"/>
      <c r="G42" s="14">
        <v>153</v>
      </c>
      <c r="H42" s="14">
        <v>0.97679265425243478</v>
      </c>
      <c r="I42" s="14"/>
      <c r="J42" s="14"/>
      <c r="K42" s="14"/>
      <c r="L42" s="14"/>
      <c r="M42" s="14">
        <v>60</v>
      </c>
      <c r="N42" s="14">
        <v>1</v>
      </c>
      <c r="O42" s="14"/>
    </row>
    <row r="43" spans="1:15" x14ac:dyDescent="0.25">
      <c r="F43" s="14"/>
      <c r="G43" s="14">
        <v>154</v>
      </c>
      <c r="H43" s="14">
        <v>0.96518898137865217</v>
      </c>
      <c r="I43" s="14"/>
      <c r="J43" s="14"/>
      <c r="K43" s="14"/>
      <c r="L43" s="14"/>
      <c r="M43" s="14">
        <v>75</v>
      </c>
      <c r="N43" s="14">
        <v>1.0325</v>
      </c>
      <c r="O43" s="14"/>
    </row>
    <row r="44" spans="1:15" x14ac:dyDescent="0.25">
      <c r="F44" s="14"/>
      <c r="G44" s="14">
        <v>155</v>
      </c>
      <c r="H44" s="14">
        <v>0.95358530850486978</v>
      </c>
      <c r="I44" s="14"/>
      <c r="J44" s="14"/>
      <c r="K44" s="14"/>
      <c r="L44" s="14"/>
      <c r="M44" s="14"/>
      <c r="N44" s="14"/>
      <c r="O44" s="14"/>
    </row>
    <row r="45" spans="1:15" x14ac:dyDescent="0.25">
      <c r="F45" s="14"/>
      <c r="G45" s="14">
        <v>156</v>
      </c>
      <c r="H45" s="14">
        <v>0.94198163563108717</v>
      </c>
      <c r="I45" s="14"/>
      <c r="J45" s="14"/>
      <c r="K45" s="14"/>
      <c r="L45" s="14"/>
      <c r="M45" s="14"/>
      <c r="N45" s="14"/>
      <c r="O45" s="14"/>
    </row>
    <row r="46" spans="1:15" x14ac:dyDescent="0.25">
      <c r="F46" s="14"/>
      <c r="G46" s="14">
        <v>157</v>
      </c>
      <c r="H46" s="14">
        <v>0.93037796275730456</v>
      </c>
      <c r="I46" s="14"/>
      <c r="J46" s="14"/>
      <c r="K46" s="14"/>
      <c r="L46" s="14"/>
      <c r="M46" s="14"/>
      <c r="N46" s="14"/>
      <c r="O46" s="14"/>
    </row>
    <row r="47" spans="1:15" x14ac:dyDescent="0.25">
      <c r="F47" s="14"/>
      <c r="G47" s="14">
        <v>158</v>
      </c>
      <c r="H47" s="14">
        <v>0.91877428988352194</v>
      </c>
      <c r="I47" s="14"/>
      <c r="J47" s="14"/>
      <c r="K47" s="14"/>
      <c r="L47" s="14"/>
      <c r="M47" s="14"/>
      <c r="N47" s="14"/>
      <c r="O47" s="14"/>
    </row>
    <row r="48" spans="1:15" x14ac:dyDescent="0.25">
      <c r="F48" s="14"/>
      <c r="G48" s="14">
        <v>159</v>
      </c>
      <c r="H48" s="14">
        <v>0.90717061700973933</v>
      </c>
      <c r="I48" s="14"/>
      <c r="J48" s="14"/>
      <c r="K48" s="14"/>
      <c r="L48" s="14"/>
      <c r="M48" s="14"/>
      <c r="N48" s="14"/>
      <c r="O48" s="14"/>
    </row>
    <row r="49" spans="6:15" x14ac:dyDescent="0.25">
      <c r="F49" s="14"/>
      <c r="G49" s="14">
        <v>160</v>
      </c>
      <c r="H49" s="14">
        <v>0.89556694413595672</v>
      </c>
      <c r="I49" s="14"/>
      <c r="J49" s="14"/>
      <c r="K49" s="14"/>
      <c r="L49" s="14"/>
      <c r="M49" s="14"/>
      <c r="N49" s="14"/>
      <c r="O49" s="14"/>
    </row>
    <row r="50" spans="6:15" x14ac:dyDescent="0.25">
      <c r="F50" s="14"/>
      <c r="G50" s="14"/>
      <c r="H50" s="14"/>
      <c r="I50" s="14"/>
      <c r="J50" s="14"/>
      <c r="K50" s="14"/>
      <c r="L50" s="14"/>
      <c r="M50" s="14"/>
      <c r="N50" s="14"/>
      <c r="O50" s="14"/>
    </row>
    <row r="51" spans="6:15" x14ac:dyDescent="0.25">
      <c r="F51" s="14"/>
      <c r="G51" s="14"/>
      <c r="H51" s="14"/>
      <c r="I51" s="14"/>
      <c r="J51" s="14"/>
      <c r="K51" s="14"/>
      <c r="L51" s="14"/>
      <c r="M51" s="14"/>
      <c r="N51" s="14"/>
      <c r="O51" s="14"/>
    </row>
    <row r="52" spans="6:15" x14ac:dyDescent="0.25">
      <c r="F52" s="14"/>
      <c r="G52" s="14"/>
      <c r="H52" s="14"/>
      <c r="I52" s="14"/>
      <c r="J52" s="14"/>
      <c r="K52" s="14"/>
      <c r="L52" s="14"/>
      <c r="M52" s="14"/>
      <c r="N52" s="14"/>
      <c r="O52" s="14"/>
    </row>
    <row r="53" spans="6:15" x14ac:dyDescent="0.25">
      <c r="F53" s="14"/>
      <c r="G53" s="14" t="s">
        <v>115</v>
      </c>
      <c r="H53" s="14"/>
      <c r="I53" s="14"/>
      <c r="J53" s="14"/>
      <c r="K53" s="14"/>
      <c r="L53" s="14"/>
      <c r="M53" s="14"/>
      <c r="N53" s="14"/>
      <c r="O53" s="14"/>
    </row>
    <row r="54" spans="6:15" x14ac:dyDescent="0.25">
      <c r="F54" s="14"/>
      <c r="G54" s="14" t="s">
        <v>116</v>
      </c>
      <c r="H54" s="14"/>
      <c r="I54" s="14"/>
      <c r="J54" s="14"/>
      <c r="K54" s="14"/>
      <c r="L54" s="14"/>
      <c r="M54" s="14"/>
      <c r="N54" s="14"/>
      <c r="O54" s="14"/>
    </row>
    <row r="55" spans="6:15" x14ac:dyDescent="0.25">
      <c r="F55" s="14"/>
      <c r="G55" s="14" t="s">
        <v>117</v>
      </c>
      <c r="H55" s="14"/>
      <c r="I55" s="14"/>
      <c r="J55" s="14"/>
      <c r="K55" s="14"/>
      <c r="L55" s="14"/>
      <c r="M55" s="14"/>
      <c r="N55" s="14"/>
      <c r="O55" s="14"/>
    </row>
    <row r="56" spans="6:15" x14ac:dyDescent="0.25">
      <c r="F56" s="14"/>
      <c r="G56" s="14" t="s">
        <v>118</v>
      </c>
      <c r="H56" s="14"/>
      <c r="I56" s="14"/>
      <c r="J56" s="14"/>
      <c r="K56" s="14"/>
      <c r="L56" s="14"/>
      <c r="M56" s="14"/>
      <c r="N56" s="14"/>
      <c r="O56" s="14"/>
    </row>
    <row r="57" spans="6:15" x14ac:dyDescent="0.25">
      <c r="F57" s="14"/>
      <c r="G57" s="14" t="s">
        <v>119</v>
      </c>
      <c r="H57" s="14"/>
      <c r="I57" s="14"/>
      <c r="J57" s="14"/>
      <c r="K57" s="14"/>
      <c r="L57" s="14"/>
      <c r="M57" s="14"/>
      <c r="N57" s="14"/>
      <c r="O57" s="14"/>
    </row>
    <row r="58" spans="6:15" x14ac:dyDescent="0.25">
      <c r="F58" s="14"/>
      <c r="G58" s="14" t="s">
        <v>252</v>
      </c>
      <c r="H58" s="14"/>
      <c r="I58" s="14"/>
      <c r="J58" s="14"/>
      <c r="K58" s="14"/>
      <c r="L58" s="14"/>
      <c r="M58" s="14"/>
      <c r="N58" s="14"/>
      <c r="O58" s="14"/>
    </row>
    <row r="59" spans="6:15" x14ac:dyDescent="0.25">
      <c r="F59" s="14"/>
      <c r="G59" s="14" t="s">
        <v>120</v>
      </c>
      <c r="H59" s="14"/>
      <c r="I59" s="14"/>
      <c r="J59" s="14"/>
      <c r="K59" s="14"/>
      <c r="L59" s="14"/>
      <c r="M59" s="14"/>
      <c r="N59" s="14"/>
      <c r="O59" s="14"/>
    </row>
    <row r="60" spans="6:15" x14ac:dyDescent="0.25">
      <c r="F60" s="14"/>
      <c r="G60" s="14" t="s">
        <v>124</v>
      </c>
      <c r="H60" s="14"/>
      <c r="I60" s="14"/>
      <c r="J60" s="14"/>
      <c r="K60" s="14"/>
      <c r="L60" s="14"/>
      <c r="M60" s="14"/>
      <c r="N60" s="14"/>
      <c r="O60" s="14"/>
    </row>
    <row r="61" spans="6:15" x14ac:dyDescent="0.25">
      <c r="F61" s="14"/>
      <c r="G61" s="14"/>
      <c r="H61" s="14"/>
      <c r="I61" s="14"/>
      <c r="J61" s="14"/>
      <c r="K61" s="14"/>
      <c r="L61" s="14"/>
      <c r="M61" s="14"/>
      <c r="N61" s="14"/>
      <c r="O61" s="14"/>
    </row>
  </sheetData>
  <sheetProtection password="CB17" sheet="1"/>
  <mergeCells count="1">
    <mergeCell ref="M31:N31"/>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dimension ref="A3:O45"/>
  <sheetViews>
    <sheetView topLeftCell="B10" workbookViewId="0">
      <selection activeCell="N17" sqref="N17"/>
    </sheetView>
  </sheetViews>
  <sheetFormatPr defaultRowHeight="12.75" x14ac:dyDescent="0.2"/>
  <cols>
    <col min="1" max="1" width="30.5703125" style="19" customWidth="1"/>
    <col min="2" max="2" width="17.140625" style="19" customWidth="1"/>
    <col min="3" max="3" width="19.5703125" style="19" customWidth="1"/>
    <col min="4" max="4" width="12.5703125" style="19" customWidth="1"/>
    <col min="5" max="5" width="10.7109375" style="19" customWidth="1"/>
    <col min="6" max="11" width="9.140625" style="19"/>
    <col min="12" max="12" width="16.140625" style="19" customWidth="1"/>
    <col min="13" max="16384" width="9.140625" style="19"/>
  </cols>
  <sheetData>
    <row r="3" spans="1:12" x14ac:dyDescent="0.2">
      <c r="A3" s="18"/>
      <c r="F3" s="18"/>
    </row>
    <row r="4" spans="1:12" x14ac:dyDescent="0.2">
      <c r="A4" s="18" t="s">
        <v>1013</v>
      </c>
      <c r="B4" s="18">
        <f>IF(Brewhouse!V17="Metric", Brewhouse!O8*0.264172051, Brewhouse!O8)</f>
        <v>0</v>
      </c>
    </row>
    <row r="7" spans="1:12" x14ac:dyDescent="0.2">
      <c r="D7" s="20"/>
    </row>
    <row r="8" spans="1:12" x14ac:dyDescent="0.2">
      <c r="C8" s="21" t="s">
        <v>128</v>
      </c>
      <c r="D8" s="20">
        <f>GravCalcs!F17</f>
        <v>12.539800000000001</v>
      </c>
      <c r="F8" s="18" t="s">
        <v>797</v>
      </c>
      <c r="G8" s="19">
        <f>IF(Brewhouse!V17="Metric", Recipe!B27*2.20462262, Recipe!B27)</f>
        <v>0</v>
      </c>
    </row>
    <row r="9" spans="1:12" x14ac:dyDescent="0.2">
      <c r="C9" s="21" t="s">
        <v>129</v>
      </c>
      <c r="D9" s="29">
        <f>Recipe!B9</f>
        <v>60</v>
      </c>
    </row>
    <row r="11" spans="1:12" x14ac:dyDescent="0.2">
      <c r="C11" s="26"/>
      <c r="D11" s="24"/>
      <c r="E11" s="18"/>
      <c r="H11" s="18" t="s">
        <v>1091</v>
      </c>
      <c r="J11" s="19">
        <f>IF(Brewhouse!V17="Metric", ((HopCalc!G19*Brewhouse!V5)+(HopCalc!H19*Brewhouse!AA5))*0.00748915167, ((HopCalc!G19*Brewhouse!V5)+(HopCalc!H19*Brewhouse!AA5))   )</f>
        <v>6.25E-2</v>
      </c>
    </row>
    <row r="12" spans="1:12" x14ac:dyDescent="0.2">
      <c r="C12" s="27" t="s">
        <v>781</v>
      </c>
      <c r="D12" s="36">
        <f>IF(Brewhouse!V17="Metric", ((HopCalc!G32*Brewhouse!V5)+(HopCalc!H32*Brewhouse!AA5))*0.00748915167, ((HopCalc!G32*Brewhouse!V5)+(HopCalc!H32*Brewhouse!AA5))   )</f>
        <v>0.1125</v>
      </c>
      <c r="E12" s="18"/>
      <c r="H12" s="18" t="s">
        <v>1092</v>
      </c>
      <c r="J12" s="19">
        <f>IF(Brewhouse!V17="Metric", ((HopCalc!G29*Brewhouse!V5)+(HopCalc!H29*Brewhouse!AA5))*0.00748915167, ((HopCalc!G29*Brewhouse!V5)+(HopCalc!H29*Brewhouse!AA5))   )</f>
        <v>0.05</v>
      </c>
    </row>
    <row r="13" spans="1:12" x14ac:dyDescent="0.2">
      <c r="C13" s="21" t="s">
        <v>130</v>
      </c>
      <c r="D13" s="19">
        <f>IF(Brewhouse!V17="Metric", GravCalcs!F17*Brewhouse!H5*0.1198264268,GravCalcs!F17*Brewhouse!H5)</f>
        <v>1.5047760000000001</v>
      </c>
      <c r="E13" s="18"/>
      <c r="H13" s="18" t="s">
        <v>1093</v>
      </c>
      <c r="J13" s="19">
        <f>SUM(J11:J12)</f>
        <v>0.1125</v>
      </c>
    </row>
    <row r="14" spans="1:12" x14ac:dyDescent="0.2">
      <c r="C14" s="21" t="s">
        <v>131</v>
      </c>
      <c r="D14" s="19">
        <f>IF(Brewhouse!V17="Metric",  Brewhouse!H11*0.264172051, Brewhouse!H11)</f>
        <v>6.25E-2</v>
      </c>
      <c r="E14" s="18"/>
    </row>
    <row r="15" spans="1:12" x14ac:dyDescent="0.2">
      <c r="C15" s="27" t="s">
        <v>301</v>
      </c>
      <c r="D15" s="19">
        <f xml:space="preserve"> IF(Brewhouse!V17="Metric",  IF(Brewhouse!V11 = "N", L16,IF(L16&gt;D12, L16-D12, 0) ),       IF(Brewhouse!V11 = "N", L15,IF(L15&gt;D12, L15-D12, 0) ))</f>
        <v>0</v>
      </c>
      <c r="E15" s="18"/>
      <c r="H15" s="18" t="s">
        <v>782</v>
      </c>
      <c r="L15" s="19">
        <f>Brewhouse!V8</f>
        <v>0</v>
      </c>
    </row>
    <row r="16" spans="1:12" x14ac:dyDescent="0.2">
      <c r="C16" s="27" t="s">
        <v>784</v>
      </c>
      <c r="D16" s="19">
        <f>IF(Brewhouse!V17="Metric", Brewhouse!AA8*0.264172051, Brewhouse!AA8)</f>
        <v>0</v>
      </c>
      <c r="E16" s="18"/>
      <c r="H16" s="18" t="s">
        <v>783</v>
      </c>
      <c r="L16" s="19">
        <f>Brewhouse!V8*0.264172051</f>
        <v>0</v>
      </c>
    </row>
    <row r="17" spans="1:15" x14ac:dyDescent="0.2">
      <c r="C17" s="27" t="s">
        <v>1003</v>
      </c>
      <c r="D17" s="19">
        <f>IF(Brewhouse!V17="Metric", Brewhouse!O5*(Recipe!B9/60)*0.264172051, Brewhouse!O5*(Recipe!B9/60))+   B4</f>
        <v>1.2</v>
      </c>
      <c r="E17" s="18"/>
    </row>
    <row r="18" spans="1:15" x14ac:dyDescent="0.2">
      <c r="C18" s="27" t="s">
        <v>132</v>
      </c>
      <c r="D18" s="19">
        <f>HopCalc!C6</f>
        <v>4.9000000000000004</v>
      </c>
      <c r="E18" s="18"/>
    </row>
    <row r="19" spans="1:15" x14ac:dyDescent="0.2">
      <c r="C19" s="27" t="s">
        <v>135</v>
      </c>
      <c r="D19" s="19">
        <f>IF(Brewhouse!V17="Metric",  (Recipe!B27)*0.22*2.20462262, (Recipe!B27)*0.22)</f>
        <v>0</v>
      </c>
      <c r="E19" s="18"/>
    </row>
    <row r="20" spans="1:15" x14ac:dyDescent="0.2">
      <c r="C20" s="28" t="s">
        <v>148</v>
      </c>
      <c r="D20" s="19">
        <f>SUM(D12:D19)-L45</f>
        <v>7.779776</v>
      </c>
      <c r="E20" s="18">
        <f>D24+D25</f>
        <v>7.779776</v>
      </c>
      <c r="F20" s="18" t="s">
        <v>137</v>
      </c>
    </row>
    <row r="21" spans="1:15" x14ac:dyDescent="0.2">
      <c r="C21" s="27"/>
      <c r="E21" s="18"/>
    </row>
    <row r="22" spans="1:15" x14ac:dyDescent="0.2">
      <c r="C22" s="27" t="s">
        <v>136</v>
      </c>
      <c r="D22" s="19">
        <f>D20-D13-D14-D19</f>
        <v>6.2125000000000004</v>
      </c>
      <c r="E22" s="37">
        <f>HopCalc!C6+D17+D12+D15+D16-L45</f>
        <v>6.2125000000000004</v>
      </c>
      <c r="F22" s="19" t="s">
        <v>137</v>
      </c>
      <c r="H22" s="18"/>
      <c r="L22" s="27" t="s">
        <v>1294</v>
      </c>
      <c r="M22" s="19">
        <f>IF(Brewhouse!V17="Metric", Brewhouse!H8*0.264172051, Brewhouse!H8)</f>
        <v>13</v>
      </c>
    </row>
    <row r="23" spans="1:15" ht="15" x14ac:dyDescent="0.25">
      <c r="C23" s="27" t="s">
        <v>1308</v>
      </c>
      <c r="D23" s="19">
        <f>D22+L45</f>
        <v>6.2125000000000004</v>
      </c>
      <c r="E23" s="18"/>
      <c r="H23" s="24" t="s">
        <v>832</v>
      </c>
      <c r="J23" s="24" t="s">
        <v>833</v>
      </c>
      <c r="L23" t="s">
        <v>1292</v>
      </c>
      <c r="M23">
        <f>D8+G8</f>
        <v>12.539800000000001</v>
      </c>
    </row>
    <row r="24" spans="1:15" ht="15" x14ac:dyDescent="0.25">
      <c r="A24" s="22" t="s">
        <v>125</v>
      </c>
      <c r="B24" s="20">
        <f>IF(Brewhouse!V17="Metric", Recipe!H6*0.4793057072, Recipe!H6)</f>
        <v>1.25</v>
      </c>
      <c r="C24" s="23"/>
      <c r="D24" s="46">
        <f>(B24*(D8+G8))/4</f>
        <v>3.9186875000000003</v>
      </c>
      <c r="E24" s="19" t="s">
        <v>126</v>
      </c>
      <c r="F24" s="19" t="s">
        <v>127</v>
      </c>
      <c r="H24" s="46">
        <f>D24+D25</f>
        <v>7.779776</v>
      </c>
      <c r="J24" s="19">
        <f>IF(Brewhouse!O17 = "Y", H24, D24)</f>
        <v>3.9186875000000003</v>
      </c>
      <c r="L24"/>
      <c r="M24" s="415" t="s">
        <v>1373</v>
      </c>
      <c r="N24" s="18" t="s">
        <v>1374</v>
      </c>
      <c r="O24" s="18" t="s">
        <v>1375</v>
      </c>
    </row>
    <row r="25" spans="1:15" ht="15" x14ac:dyDescent="0.25">
      <c r="C25" s="21" t="s">
        <v>3</v>
      </c>
      <c r="D25" s="46">
        <f>(D20-D24)</f>
        <v>3.8610884999999997</v>
      </c>
      <c r="E25" s="19" t="s">
        <v>126</v>
      </c>
      <c r="H25" s="19">
        <v>1E-4</v>
      </c>
      <c r="J25" s="19">
        <f>IF(Brewhouse!O17 = "Y", H25, D25)</f>
        <v>3.8610884999999997</v>
      </c>
      <c r="L25" t="s">
        <v>1291</v>
      </c>
      <c r="M25">
        <f>J24+(M23/12.5)</f>
        <v>4.9218715</v>
      </c>
      <c r="N25" s="19">
        <f>D14+(D13)+J25+(M23/12.5)</f>
        <v>6.4315484999999999</v>
      </c>
      <c r="O25" s="19">
        <f>J24+J25+(M23/12.5)</f>
        <v>8.7829599999999992</v>
      </c>
    </row>
    <row r="26" spans="1:15" ht="15" x14ac:dyDescent="0.25">
      <c r="C26" s="21"/>
      <c r="D26" s="24"/>
      <c r="E26" s="24"/>
      <c r="L26" t="s">
        <v>1295</v>
      </c>
      <c r="M26" t="str">
        <f>IF((M22-M25)&lt;0, "Tun Capacity Exceeded", "")</f>
        <v/>
      </c>
      <c r="N26" s="19" t="str">
        <f>IF((M22-N25)&lt;0, "Single Sparge Overflow", "")</f>
        <v/>
      </c>
      <c r="O26" s="19" t="str">
        <f>IF((M22-O25)&lt;0, "Overflow", "")</f>
        <v/>
      </c>
    </row>
    <row r="27" spans="1:15" ht="15" x14ac:dyDescent="0.25">
      <c r="C27" s="27" t="s">
        <v>1012</v>
      </c>
      <c r="D27" s="19">
        <f>D18+D12+D15+D16</f>
        <v>5.0125000000000002</v>
      </c>
      <c r="L27"/>
      <c r="M27"/>
    </row>
    <row r="28" spans="1:15" ht="15" x14ac:dyDescent="0.25">
      <c r="L28"/>
      <c r="M28"/>
    </row>
    <row r="29" spans="1:15" ht="15" x14ac:dyDescent="0.25">
      <c r="D29" s="25"/>
      <c r="H29" s="18" t="s">
        <v>1298</v>
      </c>
      <c r="L29"/>
      <c r="M29"/>
    </row>
    <row r="30" spans="1:15" ht="15" x14ac:dyDescent="0.25">
      <c r="H30" s="418" t="s">
        <v>52</v>
      </c>
      <c r="I30" s="419" t="s">
        <v>1299</v>
      </c>
      <c r="J30" s="419" t="s">
        <v>353</v>
      </c>
      <c r="K30" s="419" t="s">
        <v>1300</v>
      </c>
      <c r="L30" s="420" t="s">
        <v>1301</v>
      </c>
      <c r="M30"/>
    </row>
    <row r="31" spans="1:15" ht="15" x14ac:dyDescent="0.25">
      <c r="H31" s="21" t="str">
        <f>Recipe!D13</f>
        <v>Pale Ale Malt, Briess</v>
      </c>
      <c r="I31" s="19">
        <f>GravCalcs!G2</f>
        <v>10</v>
      </c>
      <c r="J31" s="19" t="str">
        <f>VLOOKUP(H31,GRAINLOOKUP!$A$2:$H$200,8,0)</f>
        <v>B</v>
      </c>
      <c r="K31" s="19" t="str">
        <f>VLOOKUP(H31,GRAINLOOKUP!$A$2:$I$200,9,0)</f>
        <v>NA</v>
      </c>
      <c r="L31">
        <f t="shared" ref="L31:L44" si="0">IF(J31=0,IF(ISNUMBER(K31),I31*K31,0),0)</f>
        <v>0</v>
      </c>
      <c r="M31"/>
    </row>
    <row r="32" spans="1:15" ht="15" x14ac:dyDescent="0.25">
      <c r="C32" s="18"/>
      <c r="H32" s="21" t="str">
        <f>Recipe!D14</f>
        <v>Munich (9 srm)</v>
      </c>
      <c r="I32" s="19">
        <f>GravCalcs!G3</f>
        <v>1.66</v>
      </c>
      <c r="J32" s="19" t="str">
        <f>VLOOKUP(H32,GRAINLOOKUP!$A$2:$H$200,8,0)</f>
        <v>B</v>
      </c>
      <c r="K32" s="19" t="str">
        <f>VLOOKUP(H32,GRAINLOOKUP!$A$2:$I$200,9,0)</f>
        <v>NA</v>
      </c>
      <c r="L32">
        <f t="shared" si="0"/>
        <v>0</v>
      </c>
      <c r="M32"/>
    </row>
    <row r="33" spans="3:12" ht="15" x14ac:dyDescent="0.25">
      <c r="C33" s="18"/>
      <c r="F33" s="18"/>
      <c r="H33" s="21" t="str">
        <f>Recipe!D15</f>
        <v>British Dark Crystal 75/85L</v>
      </c>
      <c r="I33" s="19">
        <f>GravCalcs!G4</f>
        <v>0.62249999999999994</v>
      </c>
      <c r="J33" s="19" t="str">
        <f>VLOOKUP(H33,GRAINLOOKUP!$A$2:$H$200,8,0)</f>
        <v>C</v>
      </c>
      <c r="K33" s="19" t="str">
        <f>VLOOKUP(H33,GRAINLOOKUP!$A$2:$I$200,9,0)</f>
        <v>NA</v>
      </c>
      <c r="L33">
        <f t="shared" si="0"/>
        <v>0</v>
      </c>
    </row>
    <row r="34" spans="3:12" ht="15" x14ac:dyDescent="0.25">
      <c r="H34" s="21" t="str">
        <f>Recipe!D16</f>
        <v>Chocolate (US, 350 SRM)</v>
      </c>
      <c r="I34" s="19">
        <f>GravCalcs!G5</f>
        <v>0.25729999999999997</v>
      </c>
      <c r="J34" s="19" t="str">
        <f>VLOOKUP(H34,GRAINLOOKUP!$A$2:$H$200,8,0)</f>
        <v>R</v>
      </c>
      <c r="K34" s="19" t="str">
        <f>VLOOKUP(H34,GRAINLOOKUP!$A$2:$I$200,9,0)</f>
        <v>NA</v>
      </c>
      <c r="L34">
        <f t="shared" si="0"/>
        <v>0</v>
      </c>
    </row>
    <row r="35" spans="3:12" ht="15" x14ac:dyDescent="0.25">
      <c r="H35" s="21" t="str">
        <f>Recipe!D17</f>
        <v>---Select Grain/Fermentable---</v>
      </c>
      <c r="I35" s="19">
        <f>GravCalcs!G6</f>
        <v>0</v>
      </c>
      <c r="J35" s="19">
        <f>VLOOKUP(H35,GRAINLOOKUP!$A$2:$H$200,8,0)</f>
        <v>0</v>
      </c>
      <c r="K35" s="19" t="str">
        <f>VLOOKUP(H35,GRAINLOOKUP!$A$2:$I$200,9,0)</f>
        <v>NA</v>
      </c>
      <c r="L35">
        <f t="shared" si="0"/>
        <v>0</v>
      </c>
    </row>
    <row r="36" spans="3:12" ht="15" x14ac:dyDescent="0.25">
      <c r="H36" s="21" t="str">
        <f>Recipe!D18</f>
        <v>---Select Grain/Fermentable---</v>
      </c>
      <c r="I36" s="19">
        <f>GravCalcs!G7</f>
        <v>0</v>
      </c>
      <c r="J36" s="19">
        <f>VLOOKUP(H36,GRAINLOOKUP!$A$2:$H$200,8,0)</f>
        <v>0</v>
      </c>
      <c r="K36" s="19" t="str">
        <f>VLOOKUP(H36,GRAINLOOKUP!$A$2:$I$200,9,0)</f>
        <v>NA</v>
      </c>
      <c r="L36">
        <f t="shared" si="0"/>
        <v>0</v>
      </c>
    </row>
    <row r="37" spans="3:12" ht="15" x14ac:dyDescent="0.25">
      <c r="H37" s="21" t="str">
        <f>Recipe!D19</f>
        <v>---Select Grain/Fermentable---</v>
      </c>
      <c r="I37" s="19">
        <f>GravCalcs!G8</f>
        <v>0</v>
      </c>
      <c r="J37" s="19">
        <f>VLOOKUP(H37,GRAINLOOKUP!$A$2:$H$200,8,0)</f>
        <v>0</v>
      </c>
      <c r="K37" s="19" t="str">
        <f>VLOOKUP(H37,GRAINLOOKUP!$A$2:$I$200,9,0)</f>
        <v>NA</v>
      </c>
      <c r="L37">
        <f t="shared" si="0"/>
        <v>0</v>
      </c>
    </row>
    <row r="38" spans="3:12" ht="15" x14ac:dyDescent="0.25">
      <c r="H38" s="21" t="str">
        <f>Recipe!D20</f>
        <v>---Select Grain/Fermentable---</v>
      </c>
      <c r="I38" s="19">
        <f>GravCalcs!G9</f>
        <v>0</v>
      </c>
      <c r="J38" s="19">
        <f>VLOOKUP(H38,GRAINLOOKUP!$A$2:$H$200,8,0)</f>
        <v>0</v>
      </c>
      <c r="K38" s="19" t="str">
        <f>VLOOKUP(H38,GRAINLOOKUP!$A$2:$I$200,9,0)</f>
        <v>NA</v>
      </c>
      <c r="L38">
        <f t="shared" si="0"/>
        <v>0</v>
      </c>
    </row>
    <row r="39" spans="3:12" ht="15" x14ac:dyDescent="0.25">
      <c r="H39" s="21" t="str">
        <f>Recipe!D21</f>
        <v>---Select Grain/Fermentable---</v>
      </c>
      <c r="I39" s="19">
        <f>GravCalcs!G10</f>
        <v>0</v>
      </c>
      <c r="J39" s="19">
        <f>VLOOKUP(H39,GRAINLOOKUP!$A$2:$H$200,8,0)</f>
        <v>0</v>
      </c>
      <c r="K39" s="19" t="str">
        <f>VLOOKUP(H39,GRAINLOOKUP!$A$2:$I$200,9,0)</f>
        <v>NA</v>
      </c>
      <c r="L39">
        <f t="shared" si="0"/>
        <v>0</v>
      </c>
    </row>
    <row r="40" spans="3:12" ht="15" x14ac:dyDescent="0.25">
      <c r="H40" s="21" t="str">
        <f>Recipe!D22</f>
        <v>---Select Grain/Fermentable---</v>
      </c>
      <c r="I40" s="19">
        <f>GravCalcs!G11</f>
        <v>0</v>
      </c>
      <c r="J40" s="19">
        <f>VLOOKUP(H40,GRAINLOOKUP!$A$2:$H$200,8,0)</f>
        <v>0</v>
      </c>
      <c r="K40" s="19" t="str">
        <f>VLOOKUP(H40,GRAINLOOKUP!$A$2:$I$200,9,0)</f>
        <v>NA</v>
      </c>
      <c r="L40">
        <f t="shared" si="0"/>
        <v>0</v>
      </c>
    </row>
    <row r="41" spans="3:12" ht="15" x14ac:dyDescent="0.25">
      <c r="H41" s="21" t="str">
        <f>Recipe!D23</f>
        <v>---Select Grain/Fermentable---</v>
      </c>
      <c r="I41" s="19">
        <f>GravCalcs!G12</f>
        <v>0</v>
      </c>
      <c r="J41" s="19">
        <f>VLOOKUP(H41,GRAINLOOKUP!$A$2:$H$200,8,0)</f>
        <v>0</v>
      </c>
      <c r="K41" s="19" t="str">
        <f>VLOOKUP(H41,GRAINLOOKUP!$A$2:$I$200,9,0)</f>
        <v>NA</v>
      </c>
      <c r="L41">
        <f t="shared" si="0"/>
        <v>0</v>
      </c>
    </row>
    <row r="42" spans="3:12" ht="15" x14ac:dyDescent="0.25">
      <c r="H42" s="21" t="str">
        <f>Recipe!D24</f>
        <v>---Select Grain/Fermentable---</v>
      </c>
      <c r="I42" s="19">
        <f>GravCalcs!G13</f>
        <v>0</v>
      </c>
      <c r="J42" s="19">
        <f>VLOOKUP(H42,GRAINLOOKUP!$A$2:$H$200,8,0)</f>
        <v>0</v>
      </c>
      <c r="K42" s="19" t="str">
        <f>VLOOKUP(H42,GRAINLOOKUP!$A$2:$I$200,9,0)</f>
        <v>NA</v>
      </c>
      <c r="L42">
        <f t="shared" si="0"/>
        <v>0</v>
      </c>
    </row>
    <row r="43" spans="3:12" ht="15" x14ac:dyDescent="0.25">
      <c r="H43" s="21" t="str">
        <f>Recipe!D25</f>
        <v>---Select Grain/Fermentable---</v>
      </c>
      <c r="I43" s="19">
        <f>GravCalcs!G14</f>
        <v>0</v>
      </c>
      <c r="J43" s="19">
        <f>VLOOKUP(H43,GRAINLOOKUP!$A$2:$H$200,8,0)</f>
        <v>0</v>
      </c>
      <c r="K43" s="19" t="str">
        <f>VLOOKUP(H43,GRAINLOOKUP!$A$2:$I$200,9,0)</f>
        <v>NA</v>
      </c>
      <c r="L43">
        <f t="shared" si="0"/>
        <v>0</v>
      </c>
    </row>
    <row r="44" spans="3:12" ht="15" x14ac:dyDescent="0.25">
      <c r="H44" s="416" t="str">
        <f>Recipe!D26</f>
        <v>---Select Grain/Fermentable---</v>
      </c>
      <c r="I44" s="417">
        <f>GravCalcs!G15</f>
        <v>0</v>
      </c>
      <c r="J44" s="417">
        <f>VLOOKUP(H44,GRAINLOOKUP!$A$2:$H$200,8,0)</f>
        <v>0</v>
      </c>
      <c r="K44" s="417" t="str">
        <f>VLOOKUP(H44,GRAINLOOKUP!$A$2:$I$200,9,0)</f>
        <v>NA</v>
      </c>
      <c r="L44">
        <f t="shared" si="0"/>
        <v>0</v>
      </c>
    </row>
    <row r="45" spans="3:12" x14ac:dyDescent="0.2">
      <c r="K45" s="27" t="s">
        <v>1302</v>
      </c>
      <c r="L45" s="424">
        <f>SUM(L31:L44)</f>
        <v>0</v>
      </c>
    </row>
  </sheetData>
  <sheetProtection password="CB17" sheet="1"/>
  <pageMargins left="0.7" right="0.7" top="0.75" bottom="0.75" header="0.3" footer="0.3"/>
  <pageSetup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dimension ref="A1:AA39"/>
  <sheetViews>
    <sheetView topLeftCell="F16" workbookViewId="0">
      <selection activeCell="T34" sqref="T34"/>
    </sheetView>
  </sheetViews>
  <sheetFormatPr defaultRowHeight="15" x14ac:dyDescent="0.25"/>
  <cols>
    <col min="15" max="15" width="11.7109375" customWidth="1"/>
    <col min="21" max="21" width="10.42578125" customWidth="1"/>
    <col min="22" max="22" width="10.85546875" customWidth="1"/>
    <col min="24" max="24" width="7.85546875" customWidth="1"/>
  </cols>
  <sheetData>
    <row r="1" spans="1:27" x14ac:dyDescent="0.25">
      <c r="Q1" t="s">
        <v>1031</v>
      </c>
      <c r="U1" s="787" t="s">
        <v>1017</v>
      </c>
      <c r="X1" t="s">
        <v>1025</v>
      </c>
      <c r="Y1" s="64" t="s">
        <v>1035</v>
      </c>
      <c r="Z1" t="s">
        <v>1028</v>
      </c>
      <c r="AA1" t="s">
        <v>1029</v>
      </c>
    </row>
    <row r="2" spans="1:27" ht="15" customHeight="1" x14ac:dyDescent="0.25">
      <c r="F2" s="66"/>
      <c r="G2" s="66"/>
      <c r="H2" s="66"/>
      <c r="I2" s="789" t="s">
        <v>266</v>
      </c>
      <c r="J2" s="789"/>
      <c r="K2" s="789"/>
      <c r="L2" s="789"/>
      <c r="M2" s="789"/>
      <c r="N2" s="789"/>
      <c r="O2" s="789"/>
      <c r="P2" s="789"/>
      <c r="Q2" s="789"/>
      <c r="R2" s="66"/>
      <c r="S2" s="66"/>
      <c r="T2" s="66"/>
      <c r="U2" s="787"/>
      <c r="V2" s="788" t="s">
        <v>1016</v>
      </c>
      <c r="Z2" t="str">
        <f>IF(GravCalcs!$J$23&lt;0.05, "N", "Y")</f>
        <v>Y</v>
      </c>
      <c r="AA2">
        <f>IF($Z$2="Y",   (GravCalcs!$J$23-0.05)/0.2, 0           )</f>
        <v>6.8731750623441321E-2</v>
      </c>
    </row>
    <row r="3" spans="1:27" x14ac:dyDescent="0.25">
      <c r="F3" s="66" t="s">
        <v>1015</v>
      </c>
      <c r="G3" s="66" t="s">
        <v>1020</v>
      </c>
      <c r="H3" s="66" t="s">
        <v>147</v>
      </c>
      <c r="I3" s="793" t="s">
        <v>4</v>
      </c>
      <c r="J3" s="794"/>
      <c r="K3" s="72" t="s">
        <v>139</v>
      </c>
      <c r="L3" s="72" t="s">
        <v>140</v>
      </c>
      <c r="M3" s="73" t="s">
        <v>144</v>
      </c>
      <c r="N3" s="74" t="s">
        <v>145</v>
      </c>
      <c r="O3" s="74" t="s">
        <v>152</v>
      </c>
      <c r="P3" s="74" t="s">
        <v>153</v>
      </c>
      <c r="Q3" s="74" t="s">
        <v>141</v>
      </c>
      <c r="R3" s="74" t="s">
        <v>142</v>
      </c>
      <c r="S3" s="75" t="s">
        <v>143</v>
      </c>
      <c r="T3" s="76" t="s">
        <v>155</v>
      </c>
      <c r="U3" s="787"/>
      <c r="V3" s="788"/>
      <c r="X3" t="s">
        <v>1026</v>
      </c>
      <c r="Y3" t="s">
        <v>1027</v>
      </c>
      <c r="Z3" t="s">
        <v>1030</v>
      </c>
    </row>
    <row r="4" spans="1:27" x14ac:dyDescent="0.25">
      <c r="B4" s="1" t="s">
        <v>785</v>
      </c>
      <c r="C4">
        <f>Recipe!B3</f>
        <v>4.9000000000000004</v>
      </c>
      <c r="F4" s="66" t="str">
        <f>IF(Recipe!N13="FW", "FW", IF(Recipe!N13="fw","FW", ""))</f>
        <v/>
      </c>
      <c r="G4" s="66">
        <f t="shared" ref="G4:G18" si="0">IF(K4="L", L4, 0)</f>
        <v>0</v>
      </c>
      <c r="H4" s="66">
        <f t="shared" ref="H4:H18" si="1">IF(K4&lt;&gt;"L", L4, 0)</f>
        <v>0.5</v>
      </c>
      <c r="I4" s="790" t="str">
        <f>Recipe!J13</f>
        <v>Magnum, US</v>
      </c>
      <c r="J4" s="790"/>
      <c r="K4" s="77" t="str">
        <f>Recipe!L13</f>
        <v>P</v>
      </c>
      <c r="L4" s="299">
        <f>IF(Brewhouse!V17="Metric", Recipe!M13*0.0352739619, Recipe!M13)</f>
        <v>0.5</v>
      </c>
      <c r="M4" s="77">
        <f>IF(F4="FW", Recipe!$B$9, Recipe!N13)</f>
        <v>60</v>
      </c>
      <c r="N4" s="77">
        <f>Recipe!O13</f>
        <v>11</v>
      </c>
      <c r="O4" s="77">
        <f>IF(Recipe!P13="","",Recipe!P13)</f>
        <v>9.5200000000000014</v>
      </c>
      <c r="P4" s="77">
        <f t="shared" ref="P4:P18" si="2">IF(O4&lt;&gt;"",O4,N4)</f>
        <v>9.5200000000000014</v>
      </c>
      <c r="Q4" s="66">
        <f>(((P4/100)*L4)*7490)/($C$6+'Total H2O Sub'!$D$12+'Total H2O Sub'!$D$15+'Total H2O Sub'!$D$16)</f>
        <v>71.126982543640892</v>
      </c>
      <c r="R4" s="66">
        <f xml:space="preserve"> IF(K4="p", IF(P4="", 0, ($D$8*1.65*(0.000125^(GravCalcs!$Q$25))) * ((1 - 2.71828182845904^(-0.04*M4))/4.15)),  IF(P4="", 0, (1.65*(0.000125^(GravCalcs!$Q$25))) * ((1 - 2.71828182845904^(-0.04*M4))/4.15)))</f>
        <v>0.23700042755694356</v>
      </c>
      <c r="S4" s="66">
        <f t="shared" ref="S4:S18" si="3">Q4*R4</f>
        <v>16.857125273678154</v>
      </c>
      <c r="T4" s="66">
        <f t="shared" ref="T4:T18" si="4">IF(ISNA(S4), 0,S4)</f>
        <v>16.857125273678154</v>
      </c>
      <c r="U4">
        <f xml:space="preserve"> IF(K4="p", IF(P4="", 0, ($D$8*1.65*(0.000125^(GravCalcs!$Q$25))) * ((1 - 2.71828182845904^(-0.04*60))/4.15)),  IF(P4="", 0, (1.65*(0.000125^(GravCalcs!$Q$25))) * ((1 - 2.71828182845904^(-0.04*60))/4.15)))*0.1</f>
        <v>2.3700042755694359E-2</v>
      </c>
      <c r="V4">
        <f t="shared" ref="V4:V18" si="5">IF(F4="FW",Q4*U4,0)</f>
        <v>0</v>
      </c>
      <c r="X4" t="str">
        <f t="shared" ref="X4:X18" si="6">IF(M4=0, 0, IF(M4&lt;6,0.05,IF(M4&lt;11, 0.06, IF(M4&lt;16, 0.08,IF(M4&lt;21,0.101,   IF(M4&lt;26, 0.121, IF(M4&lt;31, 0.153, IF(M4&lt;36, 0.188, "OTH"  )  )  ) )))))</f>
        <v>OTH</v>
      </c>
      <c r="Y4">
        <f t="shared" ref="Y4:Y18" si="7" xml:space="preserve"> IF(K4="P",   IF(X4&lt;&gt;"OTH",  X4, IF(M4&lt;41,0.228,IF(M4&lt;46, 0.269, IF(M4&lt;51, 0.281, IF(M4&lt;61,0.3, IF(M4&lt;71,0.31, IF(M4&lt;81,0.32, 0.33)  )  ) )))),        (IF(X4&lt;&gt;"OTH",  X4, IF(M4&lt;41,0.228,IF(M4&lt;46, 0.269, IF(M4&lt;51, 0.281,IF(M4&lt;61,0.3, IF(M4&lt;71,0.31, IF(M4&lt;81,0.32, 0.33 )  )  )))))/$D$8)      )</f>
        <v>0.3</v>
      </c>
      <c r="Z4">
        <f>((L4*Y4)*(P4/100)*7462)/(($C$6+'Total H2O Sub'!$D$12+'Total H2O Sub'!$D$15+'Total H2O Sub'!$D$16)*(1+$AA$2))</f>
        <v>19.891171168197889</v>
      </c>
    </row>
    <row r="5" spans="1:27" x14ac:dyDescent="0.25">
      <c r="B5" s="1" t="s">
        <v>786</v>
      </c>
      <c r="C5">
        <f>C4*0.264172051</f>
        <v>1.2944430499000001</v>
      </c>
      <c r="F5" s="66" t="str">
        <f>IF(Recipe!N14="FW", "FW", IF(Recipe!N14="fw","FW", ""))</f>
        <v/>
      </c>
      <c r="G5" s="66">
        <f t="shared" si="0"/>
        <v>0</v>
      </c>
      <c r="H5" s="66">
        <f t="shared" si="1"/>
        <v>1</v>
      </c>
      <c r="I5" s="790" t="str">
        <f>Recipe!J14</f>
        <v>Challenger,UK</v>
      </c>
      <c r="J5" s="790"/>
      <c r="K5" s="282" t="str">
        <f>Recipe!L14</f>
        <v>P</v>
      </c>
      <c r="L5" s="299">
        <f>IF(Brewhouse!V17="Metric", Recipe!M14*0.0352739619, Recipe!M14)</f>
        <v>1</v>
      </c>
      <c r="M5" s="356">
        <f>IF(F5="FW", Recipe!$B$9, Recipe!N14)</f>
        <v>15</v>
      </c>
      <c r="N5" s="77">
        <f>Recipe!O14</f>
        <v>8.9</v>
      </c>
      <c r="O5" s="77">
        <f>IF(Recipe!P14="","",Recipe!P14)</f>
        <v>8.64</v>
      </c>
      <c r="P5" s="77">
        <f t="shared" si="2"/>
        <v>8.64</v>
      </c>
      <c r="Q5" s="66">
        <f>(((P5/100)*L5)*7490)/($C$6+'Total H2O Sub'!$D$12+'Total H2O Sub'!$D$15+'Total H2O Sub'!$D$16)</f>
        <v>129.10443890274314</v>
      </c>
      <c r="R5" s="66">
        <f xml:space="preserve"> IF(K5="p", IF(P5="", 0, ($D$8*1.65*(0.000125^(GravCalcs!$Q$25))) * ((1 - 2.71828182845904^(-0.04*M5))/4.15)),  IF(P5="", 0, (1.65*(0.000125^(GravCalcs!$Q$25))) * ((1 - 2.71828182845904^(-0.04*M5))/4.15)))</f>
        <v>0.11760029304578194</v>
      </c>
      <c r="S5" s="66">
        <f t="shared" si="3"/>
        <v>15.182719848473845</v>
      </c>
      <c r="T5" s="66">
        <f t="shared" si="4"/>
        <v>15.182719848473845</v>
      </c>
      <c r="U5">
        <f xml:space="preserve"> IF(K5="p", IF(P5="", 0, ($D$8*1.65*(0.000125^(GravCalcs!$Q$25))) * ((1 - 2.71828182845904^(-0.04*60))/4.15)),  IF(P5="", 0, (1.65*(0.000125^(GravCalcs!$Q$25))) * ((1 - 2.71828182845904^(-0.04*60))/4.15)))*0.1</f>
        <v>2.3700042755694359E-2</v>
      </c>
      <c r="V5">
        <f t="shared" si="5"/>
        <v>0</v>
      </c>
      <c r="X5">
        <f t="shared" si="6"/>
        <v>0.08</v>
      </c>
      <c r="Y5">
        <f t="shared" si="7"/>
        <v>0.08</v>
      </c>
      <c r="Z5">
        <f>((L5*Y5)*(P5/100)*7462)/(($C$6+'Total H2O Sub'!$D$12+'Total H2O Sub'!$D$15+'Total H2O Sub'!$D$16)*(1+$AA$2))</f>
        <v>9.6279954562033492</v>
      </c>
    </row>
    <row r="6" spans="1:27" x14ac:dyDescent="0.25">
      <c r="B6" s="1" t="s">
        <v>787</v>
      </c>
      <c r="C6">
        <f>IF(Brewhouse!V17="Metric", C5, C4)</f>
        <v>4.9000000000000004</v>
      </c>
      <c r="F6" s="66" t="str">
        <f>IF(Recipe!N15="FW", "FW", IF(Recipe!N15="fw","FW", ""))</f>
        <v/>
      </c>
      <c r="G6" s="66">
        <f t="shared" si="0"/>
        <v>0</v>
      </c>
      <c r="H6" s="66">
        <f t="shared" si="1"/>
        <v>1</v>
      </c>
      <c r="I6" s="790" t="str">
        <f>Recipe!J15</f>
        <v>Cascade</v>
      </c>
      <c r="J6" s="790"/>
      <c r="K6" s="77" t="str">
        <f>Recipe!L15</f>
        <v>P</v>
      </c>
      <c r="L6" s="77">
        <f>IF(Brewhouse!V17="Metric", Recipe!M15*0.0352739619, Recipe!M15)</f>
        <v>1</v>
      </c>
      <c r="M6" s="356">
        <f>IF(F6="FW", Recipe!$B$9, Recipe!N15)</f>
        <v>10</v>
      </c>
      <c r="N6" s="77">
        <f>Recipe!O15</f>
        <v>7.2</v>
      </c>
      <c r="O6" s="77">
        <f>IF(Recipe!P15="","",Recipe!P15)</f>
        <v>8</v>
      </c>
      <c r="P6" s="77">
        <f t="shared" si="2"/>
        <v>8</v>
      </c>
      <c r="Q6" s="66">
        <f>(((P6/100)*L6)*7490)/($C$6+'Total H2O Sub'!$D$12+'Total H2O Sub'!$D$15+'Total H2O Sub'!$D$16)</f>
        <v>119.54114713216958</v>
      </c>
      <c r="R6" s="66">
        <f xml:space="preserve"> IF(K6="p", IF(P6="", 0, ($D$8*1.65*(0.000125^(GravCalcs!$Q$25))) * ((1 - 2.71828182845904^(-0.04*M6))/4.15)),  IF(P6="", 0, (1.65*(0.000125^(GravCalcs!$Q$25))) * ((1 - 2.71828182845904^(-0.04*M6))/4.15)))</f>
        <v>8.5929652223053293E-2</v>
      </c>
      <c r="S6" s="66">
        <f t="shared" si="3"/>
        <v>10.272129199412177</v>
      </c>
      <c r="T6" s="66">
        <f t="shared" si="4"/>
        <v>10.272129199412177</v>
      </c>
      <c r="U6">
        <f xml:space="preserve"> IF(K6="p", IF(P6="", 0, ($D$8*1.65*(0.000125^(GravCalcs!$Q$25))) * ((1 - 2.71828182845904^(-0.04*60))/4.15)),  IF(P6="", 0, (1.65*(0.000125^(GravCalcs!$Q$25))) * ((1 - 2.71828182845904^(-0.04*60))/4.15)))*0.1</f>
        <v>2.3700042755694359E-2</v>
      </c>
      <c r="V6">
        <f t="shared" si="5"/>
        <v>0</v>
      </c>
      <c r="X6">
        <f t="shared" si="6"/>
        <v>0.06</v>
      </c>
      <c r="Y6">
        <f t="shared" si="7"/>
        <v>0.06</v>
      </c>
      <c r="Z6">
        <f>((L6*Y6)*(P6/100)*7462)/(($C$6+'Total H2O Sub'!$D$12+'Total H2O Sub'!$D$15+'Total H2O Sub'!$D$16)*(1+$AA$2))</f>
        <v>6.6861079556967695</v>
      </c>
    </row>
    <row r="7" spans="1:27" x14ac:dyDescent="0.25">
      <c r="F7" s="66" t="str">
        <f>IF(Recipe!N16="FW", "FW", IF(Recipe!N16="fw","FW", ""))</f>
        <v/>
      </c>
      <c r="G7" s="66">
        <f t="shared" si="0"/>
        <v>0</v>
      </c>
      <c r="H7" s="66">
        <f t="shared" si="1"/>
        <v>0</v>
      </c>
      <c r="I7" s="790" t="str">
        <f>Recipe!J16</f>
        <v>---Select Hop---</v>
      </c>
      <c r="J7" s="790"/>
      <c r="K7" s="77">
        <f>Recipe!L16</f>
        <v>0</v>
      </c>
      <c r="L7" s="299">
        <f>IF(Brewhouse!V17="Metric", Recipe!M16*0.0352739619, Recipe!M16)</f>
        <v>0</v>
      </c>
      <c r="M7" s="356">
        <f>IF(F7="FW", Recipe!$B$9, Recipe!N16)</f>
        <v>0</v>
      </c>
      <c r="N7" s="77">
        <f>Recipe!O16</f>
        <v>0</v>
      </c>
      <c r="O7" s="77" t="str">
        <f>IF(Recipe!P16="","",Recipe!P16)</f>
        <v/>
      </c>
      <c r="P7" s="77">
        <f t="shared" si="2"/>
        <v>0</v>
      </c>
      <c r="Q7" s="66">
        <f>(((P7/100)*L7)*7490)/($C$6+'Total H2O Sub'!$D$12+'Total H2O Sub'!$D$15+'Total H2O Sub'!$D$16)</f>
        <v>0</v>
      </c>
      <c r="R7" s="66">
        <f xml:space="preserve"> IF(K7="p", IF(P7="", 0, ($D$8*1.65*(0.000125^(GravCalcs!$Q$25))) * ((1 - 2.71828182845904^(-0.04*M7))/4.15)),  IF(P7="", 0, (1.65*(0.000125^(GravCalcs!$Q$25))) * ((1 - 2.71828182845904^(-0.04*M7))/4.15)))</f>
        <v>0</v>
      </c>
      <c r="S7" s="66">
        <f t="shared" si="3"/>
        <v>0</v>
      </c>
      <c r="T7" s="66">
        <f t="shared" si="4"/>
        <v>0</v>
      </c>
      <c r="U7">
        <f xml:space="preserve"> IF(K7="p", IF(P7="", 0, ($D$8*1.65*(0.000125^(GravCalcs!$Q$25))) * ((1 - 2.71828182845904^(-0.04*60))/4.15)),  IF(P7="", 0, (1.65*(0.000125^(GravCalcs!$Q$25))) * ((1 - 2.71828182845904^(-0.04*60))/4.15)))*0.1</f>
        <v>2.1545493414267595E-2</v>
      </c>
      <c r="V7">
        <f t="shared" si="5"/>
        <v>0</v>
      </c>
      <c r="X7">
        <f t="shared" si="6"/>
        <v>0</v>
      </c>
      <c r="Y7">
        <f t="shared" si="7"/>
        <v>0</v>
      </c>
      <c r="Z7">
        <f>((L7*Y7)*(P7/100)*7462)/(($C$6+'Total H2O Sub'!$D$12+'Total H2O Sub'!$D$15+'Total H2O Sub'!$D$16)*(1+$AA$2))</f>
        <v>0</v>
      </c>
    </row>
    <row r="8" spans="1:27" x14ac:dyDescent="0.25">
      <c r="A8" t="s">
        <v>1023</v>
      </c>
      <c r="D8">
        <f>Brewhouse!H35</f>
        <v>1.1000000000000001</v>
      </c>
      <c r="F8" s="66" t="str">
        <f>IF(Recipe!N17="FW", "FW", IF(Recipe!N17="fw","FW", ""))</f>
        <v/>
      </c>
      <c r="G8" s="66">
        <f t="shared" si="0"/>
        <v>0</v>
      </c>
      <c r="H8" s="66">
        <f t="shared" si="1"/>
        <v>0</v>
      </c>
      <c r="I8" s="790" t="str">
        <f>Recipe!J17</f>
        <v>---Select Hop---</v>
      </c>
      <c r="J8" s="790"/>
      <c r="K8" s="77">
        <f>Recipe!L17</f>
        <v>0</v>
      </c>
      <c r="L8" s="299">
        <f>IF(Brewhouse!V17="Metric", Recipe!M17*0.0352739619, Recipe!M17)</f>
        <v>0</v>
      </c>
      <c r="M8" s="356">
        <f>IF(F8="FW", Recipe!$B$9, Recipe!N17)</f>
        <v>0</v>
      </c>
      <c r="N8" s="77">
        <f>Recipe!O17</f>
        <v>0</v>
      </c>
      <c r="O8" s="77" t="str">
        <f>IF(Recipe!P17="","",Recipe!P17)</f>
        <v/>
      </c>
      <c r="P8" s="77">
        <f t="shared" si="2"/>
        <v>0</v>
      </c>
      <c r="Q8" s="66">
        <f>(((P8/100)*L8)*7490)/($C$6+'Total H2O Sub'!$D$12+'Total H2O Sub'!$D$15+'Total H2O Sub'!$D$16)</f>
        <v>0</v>
      </c>
      <c r="R8" s="66">
        <f xml:space="preserve"> IF(K8="p", IF(P8="", 0, ($D$8*1.65*(0.000125^(GravCalcs!$Q$25))) * ((1 - 2.71828182845904^(-0.04*M8))/4.15)),  IF(P8="", 0, (1.65*(0.000125^(GravCalcs!$Q$25))) * ((1 - 2.71828182845904^(-0.04*M8))/4.15)))</f>
        <v>0</v>
      </c>
      <c r="S8" s="66">
        <f t="shared" si="3"/>
        <v>0</v>
      </c>
      <c r="T8" s="66">
        <f t="shared" si="4"/>
        <v>0</v>
      </c>
      <c r="U8">
        <f xml:space="preserve"> IF(K8="p", IF(P8="", 0, ($D$8*1.65*(0.000125^(GravCalcs!$Q$25))) * ((1 - 2.71828182845904^(-0.04*60))/4.15)),  IF(P8="", 0, (1.65*(0.000125^(GravCalcs!$Q$25))) * ((1 - 2.71828182845904^(-0.04*60))/4.15)))*0.1</f>
        <v>2.1545493414267595E-2</v>
      </c>
      <c r="V8">
        <f t="shared" si="5"/>
        <v>0</v>
      </c>
      <c r="X8">
        <f t="shared" si="6"/>
        <v>0</v>
      </c>
      <c r="Y8">
        <f t="shared" si="7"/>
        <v>0</v>
      </c>
      <c r="Z8">
        <f>((L8*Y8)*(P8/100)*7462)/(($C$6+'Total H2O Sub'!$D$12+'Total H2O Sub'!$D$15+'Total H2O Sub'!$D$16)*(1+$AA$2))</f>
        <v>0</v>
      </c>
    </row>
    <row r="9" spans="1:27" x14ac:dyDescent="0.25">
      <c r="F9" s="66" t="str">
        <f>IF(Recipe!N18="FW", "FW", IF(Recipe!N18="fw","FW", ""))</f>
        <v/>
      </c>
      <c r="G9" s="66">
        <f t="shared" si="0"/>
        <v>0</v>
      </c>
      <c r="H9" s="66">
        <f t="shared" si="1"/>
        <v>0</v>
      </c>
      <c r="I9" s="790" t="str">
        <f>Recipe!J18</f>
        <v>---Select Hop---</v>
      </c>
      <c r="J9" s="790"/>
      <c r="K9" s="77">
        <f>Recipe!L18</f>
        <v>0</v>
      </c>
      <c r="L9" s="299">
        <f>IF(Brewhouse!V17="Metric", Recipe!M18*0.0352739619, Recipe!M18)</f>
        <v>0</v>
      </c>
      <c r="M9" s="356">
        <f>IF(F9="FW", Recipe!$B$9, Recipe!N18)</f>
        <v>0</v>
      </c>
      <c r="N9" s="77">
        <f>Recipe!O18</f>
        <v>0</v>
      </c>
      <c r="O9" s="77" t="str">
        <f>IF(Recipe!P18="","",Recipe!P18)</f>
        <v/>
      </c>
      <c r="P9" s="77">
        <f t="shared" si="2"/>
        <v>0</v>
      </c>
      <c r="Q9" s="66">
        <f>(((P9/100)*L9)*7490)/($C$6+'Total H2O Sub'!$D$12+'Total H2O Sub'!$D$15+'Total H2O Sub'!$D$16)</f>
        <v>0</v>
      </c>
      <c r="R9" s="66">
        <f xml:space="preserve"> IF(K9="p", IF(P9="", 0, ($D$8*1.65*(0.000125^(GravCalcs!$Q$25))) * ((1 - 2.71828182845904^(-0.04*M9))/4.15)),  IF(P9="", 0, (1.65*(0.000125^(GravCalcs!$Q$25))) * ((1 - 2.71828182845904^(-0.04*M9))/4.15)))</f>
        <v>0</v>
      </c>
      <c r="S9" s="66">
        <f t="shared" si="3"/>
        <v>0</v>
      </c>
      <c r="T9" s="66">
        <f t="shared" si="4"/>
        <v>0</v>
      </c>
      <c r="U9">
        <f xml:space="preserve"> IF(K9="p", IF(P9="", 0, ($D$8*1.65*(0.000125^(GravCalcs!$Q$25))) * ((1 - 2.71828182845904^(-0.04*60))/4.15)),  IF(P9="", 0, (1.65*(0.000125^(GravCalcs!$Q$25))) * ((1 - 2.71828182845904^(-0.04*60))/4.15)))*0.1</f>
        <v>2.1545493414267595E-2</v>
      </c>
      <c r="V9">
        <f t="shared" si="5"/>
        <v>0</v>
      </c>
      <c r="X9">
        <f t="shared" si="6"/>
        <v>0</v>
      </c>
      <c r="Y9">
        <f t="shared" si="7"/>
        <v>0</v>
      </c>
      <c r="Z9">
        <f>((L9*Y9)*(P9/100)*7462)/(($C$6+'Total H2O Sub'!$D$12+'Total H2O Sub'!$D$15+'Total H2O Sub'!$D$16)*(1+$AA$2))</f>
        <v>0</v>
      </c>
    </row>
    <row r="10" spans="1:27" x14ac:dyDescent="0.25">
      <c r="F10" s="66" t="str">
        <f>IF(Recipe!N19="FW", "FW", IF(Recipe!N19="fw","FW", ""))</f>
        <v/>
      </c>
      <c r="G10" s="66">
        <f t="shared" si="0"/>
        <v>0</v>
      </c>
      <c r="H10" s="66">
        <f t="shared" si="1"/>
        <v>0</v>
      </c>
      <c r="I10" s="790" t="str">
        <f>Recipe!J19</f>
        <v>---Select Hop---</v>
      </c>
      <c r="J10" s="790"/>
      <c r="K10" s="77">
        <f>Recipe!L19</f>
        <v>0</v>
      </c>
      <c r="L10" s="299">
        <f>IF(Brewhouse!V17="Metric", Recipe!M19*0.0352739619, Recipe!M19)</f>
        <v>0</v>
      </c>
      <c r="M10" s="356">
        <f>IF(F10="FW", Recipe!$B$9, Recipe!N19)</f>
        <v>0</v>
      </c>
      <c r="N10" s="77">
        <f>Recipe!O19</f>
        <v>0</v>
      </c>
      <c r="O10" s="77" t="str">
        <f>IF(Recipe!P19="","",Recipe!P19)</f>
        <v/>
      </c>
      <c r="P10" s="77">
        <f t="shared" si="2"/>
        <v>0</v>
      </c>
      <c r="Q10" s="66">
        <f>(((P10/100)*L10)*7490)/($C$6+'Total H2O Sub'!$D$12+'Total H2O Sub'!$D$15+'Total H2O Sub'!$D$16)</f>
        <v>0</v>
      </c>
      <c r="R10" s="66">
        <f xml:space="preserve"> IF(K10="p", IF(P10="", 0, ($D$8*1.65*(0.000125^(GravCalcs!$Q$25))) * ((1 - 2.71828182845904^(-0.04*M10))/4.15)),  IF(P10="", 0, (1.65*(0.000125^(GravCalcs!$Q$25))) * ((1 - 2.71828182845904^(-0.04*M10))/4.15)))</f>
        <v>0</v>
      </c>
      <c r="S10" s="66">
        <f t="shared" si="3"/>
        <v>0</v>
      </c>
      <c r="T10" s="66">
        <f t="shared" si="4"/>
        <v>0</v>
      </c>
      <c r="U10">
        <f xml:space="preserve"> IF(K10="p", IF(P10="", 0, ($D$8*1.65*(0.000125^(GravCalcs!$Q$25))) * ((1 - 2.71828182845904^(-0.04*60))/4.15)),  IF(P10="", 0, (1.65*(0.000125^(GravCalcs!$Q$25))) * ((1 - 2.71828182845904^(-0.04*60))/4.15)))*0.1</f>
        <v>2.1545493414267595E-2</v>
      </c>
      <c r="V10">
        <f t="shared" si="5"/>
        <v>0</v>
      </c>
      <c r="X10">
        <f t="shared" si="6"/>
        <v>0</v>
      </c>
      <c r="Y10">
        <f t="shared" si="7"/>
        <v>0</v>
      </c>
      <c r="Z10">
        <f>((L10*Y10)*(P10/100)*7462)/(($C$6+'Total H2O Sub'!$D$12+'Total H2O Sub'!$D$15+'Total H2O Sub'!$D$16)*(1+$AA$2))</f>
        <v>0</v>
      </c>
    </row>
    <row r="11" spans="1:27" x14ac:dyDescent="0.25">
      <c r="F11" s="66" t="str">
        <f>IF(Recipe!N20="FW", "FW", IF(Recipe!N20="fw","FW", ""))</f>
        <v/>
      </c>
      <c r="G11" s="66">
        <f t="shared" si="0"/>
        <v>0</v>
      </c>
      <c r="H11" s="66">
        <f t="shared" si="1"/>
        <v>0</v>
      </c>
      <c r="I11" s="790" t="str">
        <f>Recipe!J20</f>
        <v>---Select Hop---</v>
      </c>
      <c r="J11" s="790"/>
      <c r="K11" s="77">
        <f>Recipe!L20</f>
        <v>0</v>
      </c>
      <c r="L11" s="299">
        <f>IF(Brewhouse!V17="Metric", Recipe!M20*0.0352739619, Recipe!M20)</f>
        <v>0</v>
      </c>
      <c r="M11" s="356">
        <f>IF(F11="FW", Recipe!$B$9, Recipe!N20)</f>
        <v>0</v>
      </c>
      <c r="N11" s="77">
        <f>Recipe!O20</f>
        <v>0</v>
      </c>
      <c r="O11" s="77" t="str">
        <f>IF(Recipe!P20="","",Recipe!P20)</f>
        <v/>
      </c>
      <c r="P11" s="77">
        <f t="shared" si="2"/>
        <v>0</v>
      </c>
      <c r="Q11" s="66">
        <f>(((P11/100)*L11)*7490)/($C$6+'Total H2O Sub'!$D$12+'Total H2O Sub'!$D$15+'Total H2O Sub'!$D$16)</f>
        <v>0</v>
      </c>
      <c r="R11" s="66">
        <f xml:space="preserve"> IF(K11="p", IF(P11="", 0, ($D$8*1.65*(0.000125^(GravCalcs!$Q$25))) * ((1 - 2.71828182845904^(-0.04*M11))/4.15)),  IF(P11="", 0, (1.65*(0.000125^(GravCalcs!$Q$25))) * ((1 - 2.71828182845904^(-0.04*M11))/4.15)))</f>
        <v>0</v>
      </c>
      <c r="S11" s="66">
        <f t="shared" si="3"/>
        <v>0</v>
      </c>
      <c r="T11" s="66">
        <f t="shared" si="4"/>
        <v>0</v>
      </c>
      <c r="U11">
        <f xml:space="preserve"> IF(K11="p", IF(P11="", 0, ($D$8*1.65*(0.000125^(GravCalcs!$Q$25))) * ((1 - 2.71828182845904^(-0.04*60))/4.15)),  IF(P11="", 0, (1.65*(0.000125^(GravCalcs!$Q$25))) * ((1 - 2.71828182845904^(-0.04*60))/4.15)))*0.1</f>
        <v>2.1545493414267595E-2</v>
      </c>
      <c r="V11">
        <f t="shared" si="5"/>
        <v>0</v>
      </c>
      <c r="X11">
        <f t="shared" si="6"/>
        <v>0</v>
      </c>
      <c r="Y11">
        <f t="shared" si="7"/>
        <v>0</v>
      </c>
      <c r="Z11">
        <f>((L11*Y11)*(P11/100)*7462)/(($C$6+'Total H2O Sub'!$D$12+'Total H2O Sub'!$D$15+'Total H2O Sub'!$D$16)*(1+$AA$2))</f>
        <v>0</v>
      </c>
    </row>
    <row r="12" spans="1:27" x14ac:dyDescent="0.25">
      <c r="F12" s="66" t="str">
        <f>IF(Recipe!N21="FW", "FW", IF(Recipe!N21="fw","FW", ""))</f>
        <v/>
      </c>
      <c r="G12" s="66">
        <f t="shared" si="0"/>
        <v>0</v>
      </c>
      <c r="H12" s="66">
        <f t="shared" si="1"/>
        <v>0</v>
      </c>
      <c r="I12" s="790" t="str">
        <f>Recipe!J21</f>
        <v>---Select Hop---</v>
      </c>
      <c r="J12" s="790"/>
      <c r="K12" s="77">
        <f>Recipe!L21</f>
        <v>0</v>
      </c>
      <c r="L12" s="299">
        <f>IF(Brewhouse!V17="Metric", Recipe!M21*0.0352739619, Recipe!M21)</f>
        <v>0</v>
      </c>
      <c r="M12" s="356">
        <f>IF(F12="FW", Recipe!$B$9, Recipe!N21)</f>
        <v>0</v>
      </c>
      <c r="N12" s="77">
        <f>Recipe!O21</f>
        <v>0</v>
      </c>
      <c r="O12" s="77" t="str">
        <f>IF(Recipe!P21="","",Recipe!P21)</f>
        <v/>
      </c>
      <c r="P12" s="77">
        <f t="shared" si="2"/>
        <v>0</v>
      </c>
      <c r="Q12" s="66">
        <f>(((P12/100)*L12)*7490)/($C$6+'Total H2O Sub'!$D$12+'Total H2O Sub'!$D$15+'Total H2O Sub'!$D$16)</f>
        <v>0</v>
      </c>
      <c r="R12" s="66">
        <f xml:space="preserve"> IF(K12="p", IF(P12="", 0, ($D$8*1.65*(0.000125^(GravCalcs!$Q$25))) * ((1 - 2.71828182845904^(-0.04*M12))/4.15)),  IF(P12="", 0, (1.65*(0.000125^(GravCalcs!$Q$25))) * ((1 - 2.71828182845904^(-0.04*M12))/4.15)))</f>
        <v>0</v>
      </c>
      <c r="S12" s="66">
        <f t="shared" si="3"/>
        <v>0</v>
      </c>
      <c r="T12" s="66">
        <f t="shared" si="4"/>
        <v>0</v>
      </c>
      <c r="U12">
        <f xml:space="preserve"> IF(K12="p", IF(P12="", 0, ($D$8*1.65*(0.000125^(GravCalcs!$Q$25))) * ((1 - 2.71828182845904^(-0.04*60))/4.15)),  IF(P12="", 0, (1.65*(0.000125^(GravCalcs!$Q$25))) * ((1 - 2.71828182845904^(-0.04*60))/4.15)))*0.1</f>
        <v>2.1545493414267595E-2</v>
      </c>
      <c r="V12">
        <f t="shared" si="5"/>
        <v>0</v>
      </c>
      <c r="X12">
        <f t="shared" si="6"/>
        <v>0</v>
      </c>
      <c r="Y12">
        <f t="shared" si="7"/>
        <v>0</v>
      </c>
      <c r="Z12">
        <f>((L12*Y12)*(P12/100)*7462)/(($C$6+'Total H2O Sub'!$D$12+'Total H2O Sub'!$D$15+'Total H2O Sub'!$D$16)*(1+$AA$2))</f>
        <v>0</v>
      </c>
    </row>
    <row r="13" spans="1:27" x14ac:dyDescent="0.25">
      <c r="F13" s="66" t="str">
        <f>IF(Recipe!N22="FW", "FW", IF(Recipe!N22="fw","FW", ""))</f>
        <v/>
      </c>
      <c r="G13" s="66">
        <f t="shared" si="0"/>
        <v>0</v>
      </c>
      <c r="H13" s="66">
        <f t="shared" si="1"/>
        <v>0</v>
      </c>
      <c r="I13" s="790" t="str">
        <f>Recipe!J22</f>
        <v>---Select Hop---</v>
      </c>
      <c r="J13" s="790"/>
      <c r="K13" s="77">
        <f>Recipe!L22</f>
        <v>0</v>
      </c>
      <c r="L13" s="299">
        <f>IF(Brewhouse!V17="Metric", Recipe!M22*0.0352739619, Recipe!M22)</f>
        <v>0</v>
      </c>
      <c r="M13" s="356">
        <f>IF(F13="FW", Recipe!$B$9, Recipe!N22)</f>
        <v>0</v>
      </c>
      <c r="N13" s="77">
        <f>Recipe!O22</f>
        <v>0</v>
      </c>
      <c r="O13" s="77" t="str">
        <f>IF(Recipe!P22="","",Recipe!P22)</f>
        <v/>
      </c>
      <c r="P13" s="77">
        <f t="shared" si="2"/>
        <v>0</v>
      </c>
      <c r="Q13" s="66">
        <f>(((P13/100)*L13)*7490)/($C$6+'Total H2O Sub'!$D$12+'Total H2O Sub'!$D$15+'Total H2O Sub'!$D$16)</f>
        <v>0</v>
      </c>
      <c r="R13" s="66">
        <f xml:space="preserve"> IF(K13="p", IF(P13="", 0, ($D$8*1.65*(0.000125^(GravCalcs!$Q$25))) * ((1 - 2.71828182845904^(-0.04*M13))/4.15)),  IF(P13="", 0, (1.65*(0.000125^(GravCalcs!$Q$25))) * ((1 - 2.71828182845904^(-0.04*M13))/4.15)))</f>
        <v>0</v>
      </c>
      <c r="S13" s="66">
        <f t="shared" si="3"/>
        <v>0</v>
      </c>
      <c r="T13" s="66">
        <f t="shared" si="4"/>
        <v>0</v>
      </c>
      <c r="U13">
        <f xml:space="preserve"> IF(K13="p", IF(P13="", 0, ($D$8*1.65*(0.000125^(GravCalcs!$Q$25))) * ((1 - 2.71828182845904^(-0.04*60))/4.15)),  IF(P13="", 0, (1.65*(0.000125^(GravCalcs!$Q$25))) * ((1 - 2.71828182845904^(-0.04*60))/4.15)))*0.1</f>
        <v>2.1545493414267595E-2</v>
      </c>
      <c r="V13">
        <f t="shared" si="5"/>
        <v>0</v>
      </c>
      <c r="X13">
        <f t="shared" si="6"/>
        <v>0</v>
      </c>
      <c r="Y13">
        <f t="shared" si="7"/>
        <v>0</v>
      </c>
      <c r="Z13">
        <f>((L13*Y13)*(P13/100)*7462)/(($C$6+'Total H2O Sub'!$D$12+'Total H2O Sub'!$D$15+'Total H2O Sub'!$D$16)*(1+$AA$2))</f>
        <v>0</v>
      </c>
    </row>
    <row r="14" spans="1:27" x14ac:dyDescent="0.25">
      <c r="F14" s="66" t="str">
        <f>IF(Recipe!N23="FW", "FW", IF(Recipe!N23="fw","FW", ""))</f>
        <v/>
      </c>
      <c r="G14" s="66">
        <f t="shared" si="0"/>
        <v>0</v>
      </c>
      <c r="H14" s="66">
        <f t="shared" si="1"/>
        <v>0</v>
      </c>
      <c r="I14" s="790" t="str">
        <f>Recipe!J23</f>
        <v>---Select Hop---</v>
      </c>
      <c r="J14" s="790"/>
      <c r="K14" s="77">
        <f>Recipe!L23</f>
        <v>0</v>
      </c>
      <c r="L14" s="299">
        <f>IF(Brewhouse!V17="Metric", Recipe!M23*0.0352739619, Recipe!M23)</f>
        <v>0</v>
      </c>
      <c r="M14" s="356">
        <f>IF(F14="FW", Recipe!$B$9, Recipe!N23)</f>
        <v>0</v>
      </c>
      <c r="N14" s="77">
        <f>Recipe!O23</f>
        <v>0</v>
      </c>
      <c r="O14" s="77" t="str">
        <f>IF(Recipe!P23="","",Recipe!P23)</f>
        <v/>
      </c>
      <c r="P14" s="77">
        <f t="shared" si="2"/>
        <v>0</v>
      </c>
      <c r="Q14" s="66">
        <f>(((P14/100)*L14)*7490)/($C$6+'Total H2O Sub'!$D$12+'Total H2O Sub'!$D$15+'Total H2O Sub'!$D$16)</f>
        <v>0</v>
      </c>
      <c r="R14" s="66">
        <f xml:space="preserve"> IF(K14="p", IF(P14="", 0, ($D$8*1.65*(0.000125^(GravCalcs!$Q$25))) * ((1 - 2.71828182845904^(-0.04*M14))/4.15)),  IF(P14="", 0, (1.65*(0.000125^(GravCalcs!$Q$25))) * ((1 - 2.71828182845904^(-0.04*M14))/4.15)))</f>
        <v>0</v>
      </c>
      <c r="S14" s="66">
        <f t="shared" si="3"/>
        <v>0</v>
      </c>
      <c r="T14" s="66">
        <f t="shared" si="4"/>
        <v>0</v>
      </c>
      <c r="U14">
        <f xml:space="preserve"> IF(K14="p", IF(P14="", 0, ($D$8*1.65*(0.000125^(GravCalcs!$Q$25))) * ((1 - 2.71828182845904^(-0.04*60))/4.15)),  IF(P14="", 0, (1.65*(0.000125^(GravCalcs!$Q$25))) * ((1 - 2.71828182845904^(-0.04*60))/4.15)))*0.1</f>
        <v>2.1545493414267595E-2</v>
      </c>
      <c r="V14">
        <f t="shared" si="5"/>
        <v>0</v>
      </c>
      <c r="X14">
        <f t="shared" si="6"/>
        <v>0</v>
      </c>
      <c r="Y14">
        <f t="shared" si="7"/>
        <v>0</v>
      </c>
      <c r="Z14">
        <f>((L14*Y14)*(P14/100)*7462)/(($C$6+'Total H2O Sub'!$D$12+'Total H2O Sub'!$D$15+'Total H2O Sub'!$D$16)*(1+$AA$2))</f>
        <v>0</v>
      </c>
    </row>
    <row r="15" spans="1:27" x14ac:dyDescent="0.25">
      <c r="F15" s="66" t="str">
        <f>IF(Recipe!N24="FW", "FW", IF(Recipe!N24="fw","FW", ""))</f>
        <v/>
      </c>
      <c r="G15" s="66">
        <f t="shared" si="0"/>
        <v>0</v>
      </c>
      <c r="H15" s="66">
        <f t="shared" si="1"/>
        <v>0</v>
      </c>
      <c r="I15" s="790" t="str">
        <f>Recipe!J24</f>
        <v>---Select Hop---</v>
      </c>
      <c r="J15" s="790"/>
      <c r="K15" s="77">
        <f>Recipe!L24</f>
        <v>0</v>
      </c>
      <c r="L15" s="299">
        <f>IF(Brewhouse!V17="Metric", Recipe!M24*0.0352739619, Recipe!M24)</f>
        <v>0</v>
      </c>
      <c r="M15" s="356">
        <f>IF(F15="FW", Recipe!$B$9, Recipe!N24)</f>
        <v>0</v>
      </c>
      <c r="N15" s="77">
        <f>Recipe!O24</f>
        <v>0</v>
      </c>
      <c r="O15" s="77" t="str">
        <f>IF(Recipe!P24="","",Recipe!P24)</f>
        <v/>
      </c>
      <c r="P15" s="77">
        <f t="shared" si="2"/>
        <v>0</v>
      </c>
      <c r="Q15" s="66">
        <f>(((P15/100)*L15)*7490)/($C$6+'Total H2O Sub'!$D$12+'Total H2O Sub'!$D$15+'Total H2O Sub'!$D$16)</f>
        <v>0</v>
      </c>
      <c r="R15" s="66">
        <f xml:space="preserve"> IF(K15="p", IF(P15="", 0, ($D$8*1.65*(0.000125^(GravCalcs!$Q$25))) * ((1 - 2.71828182845904^(-0.04*M15))/4.15)),  IF(P15="", 0, (1.65*(0.000125^(GravCalcs!$Q$25))) * ((1 - 2.71828182845904^(-0.04*M15))/4.15)))</f>
        <v>0</v>
      </c>
      <c r="S15" s="66">
        <f t="shared" si="3"/>
        <v>0</v>
      </c>
      <c r="T15" s="66">
        <f t="shared" si="4"/>
        <v>0</v>
      </c>
      <c r="U15">
        <f xml:space="preserve"> IF(K15="p", IF(P15="", 0, ($D$8*1.65*(0.000125^(GravCalcs!$Q$25))) * ((1 - 2.71828182845904^(-0.04*60))/4.15)),  IF(P15="", 0, (1.65*(0.000125^(GravCalcs!$Q$25))) * ((1 - 2.71828182845904^(-0.04*60))/4.15)))*0.1</f>
        <v>2.1545493414267595E-2</v>
      </c>
      <c r="V15">
        <f t="shared" si="5"/>
        <v>0</v>
      </c>
      <c r="X15">
        <f t="shared" si="6"/>
        <v>0</v>
      </c>
      <c r="Y15">
        <f t="shared" si="7"/>
        <v>0</v>
      </c>
      <c r="Z15">
        <f>((L15*Y15)*(P15/100)*7462)/(($C$6+'Total H2O Sub'!$D$12+'Total H2O Sub'!$D$15+'Total H2O Sub'!$D$16)*(1+$AA$2))</f>
        <v>0</v>
      </c>
    </row>
    <row r="16" spans="1:27" x14ac:dyDescent="0.25">
      <c r="F16" s="66" t="str">
        <f>IF(Recipe!N25="FW", "FW", IF(Recipe!N25="fw","FW", ""))</f>
        <v/>
      </c>
      <c r="G16" s="66">
        <f t="shared" si="0"/>
        <v>0</v>
      </c>
      <c r="H16" s="66">
        <f t="shared" si="1"/>
        <v>0</v>
      </c>
      <c r="I16" s="790" t="str">
        <f>Recipe!J25</f>
        <v>---Select Hop---</v>
      </c>
      <c r="J16" s="790"/>
      <c r="K16" s="77">
        <f>Recipe!L25</f>
        <v>0</v>
      </c>
      <c r="L16" s="299">
        <f>IF(Brewhouse!V17="Metric", Recipe!M25*0.0352739619, Recipe!M25)</f>
        <v>0</v>
      </c>
      <c r="M16" s="356">
        <f>IF(F16="FW", Recipe!$B$9, Recipe!N25)</f>
        <v>0</v>
      </c>
      <c r="N16" s="77">
        <f>Recipe!O25</f>
        <v>0</v>
      </c>
      <c r="O16" s="77" t="str">
        <f>IF(Recipe!P25="","",Recipe!P25)</f>
        <v/>
      </c>
      <c r="P16" s="77">
        <f t="shared" si="2"/>
        <v>0</v>
      </c>
      <c r="Q16" s="66">
        <f>(((P16/100)*L16)*7490)/($C$6+'Total H2O Sub'!$D$12+'Total H2O Sub'!$D$15+'Total H2O Sub'!$D$16)</f>
        <v>0</v>
      </c>
      <c r="R16" s="66">
        <f xml:space="preserve"> IF(K16="p", IF(P16="", 0, ($D$8*1.65*(0.000125^(GravCalcs!$Q$25))) * ((1 - 2.71828182845904^(-0.04*M16))/4.15)),  IF(P16="", 0, (1.65*(0.000125^(GravCalcs!$Q$25))) * ((1 - 2.71828182845904^(-0.04*M16))/4.15)))</f>
        <v>0</v>
      </c>
      <c r="S16" s="66">
        <f t="shared" si="3"/>
        <v>0</v>
      </c>
      <c r="T16" s="66">
        <f t="shared" si="4"/>
        <v>0</v>
      </c>
      <c r="U16">
        <f xml:space="preserve"> IF(K16="p", IF(P16="", 0, ($D$8*1.65*(0.000125^(GravCalcs!$Q$25))) * ((1 - 2.71828182845904^(-0.04*60))/4.15)),  IF(P16="", 0, (1.65*(0.000125^(GravCalcs!$Q$25))) * ((1 - 2.71828182845904^(-0.04*60))/4.15)))*0.1</f>
        <v>2.1545493414267595E-2</v>
      </c>
      <c r="V16">
        <f t="shared" si="5"/>
        <v>0</v>
      </c>
      <c r="X16">
        <f t="shared" si="6"/>
        <v>0</v>
      </c>
      <c r="Y16">
        <f t="shared" si="7"/>
        <v>0</v>
      </c>
      <c r="Z16">
        <f>((L16*Y16)*(P16/100)*7462)/(($C$6+'Total H2O Sub'!$D$12+'Total H2O Sub'!$D$15+'Total H2O Sub'!$D$16)*(1+$AA$2))</f>
        <v>0</v>
      </c>
    </row>
    <row r="17" spans="5:26" x14ac:dyDescent="0.25">
      <c r="F17" s="66" t="str">
        <f>IF(Recipe!N26="FW", "FW", IF(Recipe!N26="fw","FW", ""))</f>
        <v/>
      </c>
      <c r="G17" s="66">
        <f t="shared" si="0"/>
        <v>0</v>
      </c>
      <c r="H17" s="66">
        <f t="shared" si="1"/>
        <v>0</v>
      </c>
      <c r="I17" s="790" t="str">
        <f>Recipe!J26</f>
        <v>---Select Hop---</v>
      </c>
      <c r="J17" s="790"/>
      <c r="K17" s="77">
        <f>Recipe!L26</f>
        <v>0</v>
      </c>
      <c r="L17" s="299">
        <f>IF(Brewhouse!V17="Metric", Recipe!M26*0.0352739619, Recipe!M26)</f>
        <v>0</v>
      </c>
      <c r="M17" s="356">
        <f>IF(F17="FW", Recipe!$B$9, Recipe!N26)</f>
        <v>0</v>
      </c>
      <c r="N17" s="77">
        <f>Recipe!O26</f>
        <v>0</v>
      </c>
      <c r="O17" s="77" t="str">
        <f>IF(Recipe!P26="","",Recipe!P26)</f>
        <v/>
      </c>
      <c r="P17" s="77">
        <f t="shared" si="2"/>
        <v>0</v>
      </c>
      <c r="Q17" s="66">
        <f>(((P17/100)*L17)*7490)/($C$6+'Total H2O Sub'!$D$12+'Total H2O Sub'!$D$15+'Total H2O Sub'!$D$16)</f>
        <v>0</v>
      </c>
      <c r="R17" s="66">
        <f xml:space="preserve"> IF(K17="p", IF(P17="", 0, ($D$8*1.65*(0.000125^(GravCalcs!$Q$25))) * ((1 - 2.71828182845904^(-0.04*M17))/4.15)),  IF(P17="", 0, (1.65*(0.000125^(GravCalcs!$Q$25))) * ((1 - 2.71828182845904^(-0.04*M17))/4.15)))</f>
        <v>0</v>
      </c>
      <c r="S17" s="66">
        <f t="shared" si="3"/>
        <v>0</v>
      </c>
      <c r="T17" s="66">
        <f t="shared" si="4"/>
        <v>0</v>
      </c>
      <c r="U17">
        <f xml:space="preserve"> IF(K17="p", IF(P17="", 0, ($D$8*1.65*(0.000125^(GravCalcs!$Q$25))) * ((1 - 2.71828182845904^(-0.04*60))/4.15)),  IF(P17="", 0, (1.65*(0.000125^(GravCalcs!$Q$25))) * ((1 - 2.71828182845904^(-0.04*60))/4.15)))*0.1</f>
        <v>2.1545493414267595E-2</v>
      </c>
      <c r="V17">
        <f t="shared" si="5"/>
        <v>0</v>
      </c>
      <c r="X17">
        <f t="shared" si="6"/>
        <v>0</v>
      </c>
      <c r="Y17">
        <f t="shared" si="7"/>
        <v>0</v>
      </c>
      <c r="Z17">
        <f>((L17*Y17)*(P17/100)*7462)/(($C$6+'Total H2O Sub'!$D$12+'Total H2O Sub'!$D$15+'Total H2O Sub'!$D$16)*(1+$AA$2))</f>
        <v>0</v>
      </c>
    </row>
    <row r="18" spans="5:26" x14ac:dyDescent="0.25">
      <c r="F18" s="66" t="str">
        <f>IF(Recipe!N27="FW", "FW", IF(Recipe!N27="fw","FW", ""))</f>
        <v/>
      </c>
      <c r="G18" s="66">
        <f t="shared" si="0"/>
        <v>0</v>
      </c>
      <c r="H18" s="66">
        <f t="shared" si="1"/>
        <v>0</v>
      </c>
      <c r="I18" s="790" t="str">
        <f>Recipe!J27</f>
        <v>---Select Hop---</v>
      </c>
      <c r="J18" s="790"/>
      <c r="K18" s="77">
        <f>Recipe!L27</f>
        <v>0</v>
      </c>
      <c r="L18" s="299">
        <f>IF(Brewhouse!V17="Metric", Recipe!M27*0.0352739619, Recipe!M27)</f>
        <v>0</v>
      </c>
      <c r="M18" s="356">
        <f>IF(F18="FW", Recipe!$B$9, Recipe!N27)</f>
        <v>0</v>
      </c>
      <c r="N18" s="77">
        <f>Recipe!O27</f>
        <v>0</v>
      </c>
      <c r="O18" s="77" t="str">
        <f>IF(Recipe!P27="","",Recipe!P27)</f>
        <v/>
      </c>
      <c r="P18" s="77">
        <f t="shared" si="2"/>
        <v>0</v>
      </c>
      <c r="Q18" s="66">
        <f>(((P18/100)*L18)*7490)/($C$6+'Total H2O Sub'!$D$12+'Total H2O Sub'!$D$15+'Total H2O Sub'!$D$16)</f>
        <v>0</v>
      </c>
      <c r="R18" s="66">
        <f xml:space="preserve"> IF(K18="p", IF(P18="", 0, ($D$8*1.65*(0.000125^(GravCalcs!$Q$25))) * ((1 - 2.71828182845904^(-0.04*M18))/4.15)),  IF(P18="", 0, (1.65*(0.000125^(GravCalcs!$Q$25))) * ((1 - 2.71828182845904^(-0.04*M18))/4.15)))</f>
        <v>0</v>
      </c>
      <c r="S18" s="66">
        <f t="shared" si="3"/>
        <v>0</v>
      </c>
      <c r="T18" s="66">
        <f t="shared" si="4"/>
        <v>0</v>
      </c>
      <c r="U18">
        <f xml:space="preserve"> IF(K18="p", IF(P18="", 0, ($D$8*1.65*(0.000125^(GravCalcs!$Q$25))) * ((1 - 2.71828182845904^(-0.04*60))/4.15)),  IF(P18="", 0, (1.65*(0.000125^(GravCalcs!$Q$25))) * ((1 - 2.71828182845904^(-0.04*60))/4.15)))*0.1</f>
        <v>2.1545493414267595E-2</v>
      </c>
      <c r="V18">
        <f t="shared" si="5"/>
        <v>0</v>
      </c>
      <c r="X18">
        <f t="shared" si="6"/>
        <v>0</v>
      </c>
      <c r="Y18">
        <f t="shared" si="7"/>
        <v>0</v>
      </c>
      <c r="Z18">
        <f>((L18*Y18)*(P18/100)*7462)/(($C$6+'Total H2O Sub'!$D$12+'Total H2O Sub'!$D$15+'Total H2O Sub'!$D$16)*(1+$AA$2))</f>
        <v>0</v>
      </c>
    </row>
    <row r="19" spans="5:26" x14ac:dyDescent="0.25">
      <c r="F19" s="78" t="s">
        <v>133</v>
      </c>
      <c r="G19" s="78">
        <f>SUM(G4:G18)</f>
        <v>0</v>
      </c>
      <c r="H19" s="78">
        <f>SUM(H4:H18)</f>
        <v>2.5</v>
      </c>
      <c r="I19" s="78"/>
      <c r="J19" s="78"/>
      <c r="K19" s="78"/>
      <c r="L19" s="78"/>
      <c r="M19" s="78"/>
      <c r="N19" s="78"/>
      <c r="O19" s="78"/>
      <c r="P19" s="78"/>
      <c r="Q19" s="78"/>
      <c r="R19" s="78"/>
      <c r="S19" s="78"/>
      <c r="T19" s="78"/>
      <c r="U19" s="1" t="s">
        <v>1018</v>
      </c>
      <c r="V19">
        <f>SUM(V4:V18)</f>
        <v>0</v>
      </c>
    </row>
    <row r="20" spans="5:26" x14ac:dyDescent="0.25">
      <c r="F20" s="78"/>
      <c r="G20" s="78"/>
      <c r="H20" s="78"/>
      <c r="I20" s="78"/>
      <c r="J20" s="78"/>
      <c r="K20" s="78"/>
      <c r="L20" s="78"/>
      <c r="M20" s="78"/>
      <c r="N20" s="78"/>
      <c r="O20" s="78"/>
      <c r="P20" s="78"/>
      <c r="Q20" s="78"/>
      <c r="R20" s="85" t="s">
        <v>277</v>
      </c>
      <c r="S20" s="78"/>
      <c r="T20" s="78">
        <f>SUM(T4:T18)</f>
        <v>42.311974321564179</v>
      </c>
      <c r="Y20" s="1" t="s">
        <v>1032</v>
      </c>
      <c r="Z20">
        <f>SUM(Z4:Z19)</f>
        <v>36.205274580098006</v>
      </c>
    </row>
    <row r="21" spans="5:26" x14ac:dyDescent="0.25">
      <c r="F21" s="66"/>
      <c r="G21" s="66"/>
      <c r="H21" s="66"/>
      <c r="I21" s="66"/>
      <c r="J21" s="66"/>
      <c r="K21" s="66"/>
      <c r="L21" s="66"/>
      <c r="M21" s="66"/>
      <c r="N21" s="66"/>
      <c r="O21" s="66"/>
      <c r="P21" s="66"/>
      <c r="Q21" s="66"/>
      <c r="R21" s="66"/>
      <c r="S21" s="66"/>
      <c r="T21" s="66"/>
    </row>
    <row r="22" spans="5:26" x14ac:dyDescent="0.25">
      <c r="F22" s="66"/>
      <c r="G22" s="66"/>
      <c r="H22" s="66"/>
      <c r="I22" s="66"/>
      <c r="J22" s="66"/>
      <c r="K22" s="789" t="s">
        <v>270</v>
      </c>
      <c r="L22" s="789"/>
      <c r="M22" s="789"/>
      <c r="N22" s="789"/>
      <c r="O22" s="789"/>
      <c r="P22" s="66"/>
      <c r="Q22" s="66"/>
      <c r="R22" s="66"/>
      <c r="S22" s="66"/>
      <c r="T22" s="66"/>
    </row>
    <row r="23" spans="5:26" ht="27.75" customHeight="1" x14ac:dyDescent="0.25">
      <c r="E23" s="1" t="s">
        <v>273</v>
      </c>
      <c r="F23" s="66" t="s">
        <v>268</v>
      </c>
      <c r="G23" s="79" t="s">
        <v>146</v>
      </c>
      <c r="H23" s="79" t="s">
        <v>147</v>
      </c>
      <c r="I23" s="791" t="s">
        <v>4</v>
      </c>
      <c r="J23" s="792"/>
      <c r="K23" s="80" t="s">
        <v>139</v>
      </c>
      <c r="L23" s="80" t="s">
        <v>140</v>
      </c>
      <c r="M23" s="81" t="s">
        <v>144</v>
      </c>
      <c r="N23" s="82" t="s">
        <v>145</v>
      </c>
      <c r="O23" s="82" t="s">
        <v>152</v>
      </c>
      <c r="P23" s="82" t="s">
        <v>153</v>
      </c>
      <c r="Q23" s="82" t="s">
        <v>141</v>
      </c>
      <c r="R23" s="82" t="s">
        <v>272</v>
      </c>
      <c r="S23" s="75" t="s">
        <v>143</v>
      </c>
      <c r="T23" s="76" t="s">
        <v>155</v>
      </c>
      <c r="U23" s="63"/>
    </row>
    <row r="24" spans="5:26" x14ac:dyDescent="0.25">
      <c r="E24" s="64">
        <f>0.6^((212-F24)/18)</f>
        <v>0.53561351663524537</v>
      </c>
      <c r="F24" s="66">
        <f>IF(Brewhouse!V17="Metric",  (Recipe!G32*(9/5))+32, Recipe!G32)</f>
        <v>190</v>
      </c>
      <c r="G24" s="66">
        <f>IF(K24="L", L24, 0)</f>
        <v>0</v>
      </c>
      <c r="H24" s="66">
        <f>IF(K24&lt;&gt;"L", L24, 0)</f>
        <v>0.5</v>
      </c>
      <c r="I24" s="789" t="str">
        <f>Recipe!B32</f>
        <v>Cascade</v>
      </c>
      <c r="J24" s="789"/>
      <c r="K24" s="66" t="str">
        <f>Recipe!E32</f>
        <v>P</v>
      </c>
      <c r="L24" s="66">
        <f>IF(Brewhouse!V17="Metric", Recipe!F32*0.0352739619, Recipe!F32)</f>
        <v>0.5</v>
      </c>
      <c r="M24" s="66">
        <f>Recipe!H32</f>
        <v>15</v>
      </c>
      <c r="N24" s="66">
        <f>Recipe!I32</f>
        <v>7.2</v>
      </c>
      <c r="O24" s="66">
        <f>IF(Recipe!J32="","",Recipe!J32)</f>
        <v>8</v>
      </c>
      <c r="P24" s="77">
        <f>IF(O24&lt;&gt;"",O24,N24)</f>
        <v>8</v>
      </c>
      <c r="Q24" s="66">
        <f>(((P24/100)*L24)*7490)/($C$6+'Total H2O Sub'!$D$12+'Total H2O Sub'!$D$15+'Total H2O Sub'!$D$16)</f>
        <v>59.770573566084792</v>
      </c>
      <c r="R24" s="66">
        <f xml:space="preserve"> (IF(K24="p", IF(P24="", 0, ($D$8*1.65*(0.000125^(GravCalcs!$Q$25))) * ((1 - 2.71828182845904^(-0.04*M24))/4.15)),  IF(P24="", 0, (1.65*(0.000125^(GravCalcs!$Q$25))) * ((1 - 2.71828182845904^(-0.04*M24))/4.15))))*E24</f>
        <v>6.2988306515586651E-2</v>
      </c>
      <c r="S24" s="66">
        <f>Q24*R24</f>
        <v>3.76484720839297</v>
      </c>
      <c r="T24" s="66">
        <f>IF(ISNA(S24), 0,S24)</f>
        <v>3.76484720839297</v>
      </c>
    </row>
    <row r="25" spans="5:26" x14ac:dyDescent="0.25">
      <c r="E25" s="64">
        <f>0.6^((212-F25)/18)</f>
        <v>0.53561351663524537</v>
      </c>
      <c r="F25" s="66">
        <f>IF(Brewhouse!V17="Metric",  (Recipe!G33*(9/5))+32, Recipe!G33)</f>
        <v>190</v>
      </c>
      <c r="G25" s="66">
        <f>IF(K25="L", L25, 0)</f>
        <v>0</v>
      </c>
      <c r="H25" s="66">
        <f>IF(K25&lt;&gt;"L", L25, 0)</f>
        <v>1.5</v>
      </c>
      <c r="I25" s="789" t="str">
        <f>Recipe!B33</f>
        <v>Hallertau, German</v>
      </c>
      <c r="J25" s="789"/>
      <c r="K25" s="66" t="str">
        <f>Recipe!E33</f>
        <v>P</v>
      </c>
      <c r="L25" s="66">
        <f>IF(Brewhouse!V17="Metric", Recipe!F33*0.0352739619, Recipe!F33)</f>
        <v>1.5</v>
      </c>
      <c r="M25" s="66">
        <f>Recipe!H33</f>
        <v>15</v>
      </c>
      <c r="N25" s="66">
        <f>Recipe!I33</f>
        <v>2.7</v>
      </c>
      <c r="O25" s="66">
        <f>IF(Recipe!J33="","",Recipe!J33)</f>
        <v>3.1</v>
      </c>
      <c r="P25" s="77">
        <f>IF(O25&lt;&gt;"",O25,N25)</f>
        <v>3.1</v>
      </c>
      <c r="Q25" s="66">
        <f>(((P25/100)*L25)*7490)/($C$6+'Total H2O Sub'!$D$12+'Total H2O Sub'!$D$15+'Total H2O Sub'!$D$16)</f>
        <v>69.483291770573572</v>
      </c>
      <c r="R25" s="66">
        <f xml:space="preserve"> (IF(K25="p", IF(P25="", 0, ($D$8*1.65*(0.000125^(GravCalcs!$Q$25))) * ((1 - 2.71828182845904^(-0.04*M25))/4.15)),  IF(P25="", 0, (1.65*(0.000125^(GravCalcs!$Q$25))) * ((1 - 2.71828182845904^(-0.04*M25))/4.15))))*E25</f>
        <v>6.2988306515586651E-2</v>
      </c>
      <c r="S25" s="66">
        <f>Q25*R25</f>
        <v>4.3766348797568275</v>
      </c>
      <c r="T25" s="66">
        <f>IF(ISNA(S25), 0,S25)</f>
        <v>4.3766348797568275</v>
      </c>
    </row>
    <row r="26" spans="5:26" x14ac:dyDescent="0.25">
      <c r="E26" s="64">
        <f>0.6^((212-F26)/18)</f>
        <v>2.4384548952476061E-3</v>
      </c>
      <c r="F26" s="66">
        <f>IF(Brewhouse!V17="Metric",  (Recipe!G34*(9/5))+32, Recipe!G34)</f>
        <v>0</v>
      </c>
      <c r="G26" s="66">
        <f>IF(K26="L", L26, 0)</f>
        <v>0</v>
      </c>
      <c r="H26" s="66">
        <f>IF(K26&lt;&gt;"L", L26, 0)</f>
        <v>0</v>
      </c>
      <c r="I26" s="789" t="str">
        <f>Recipe!B34</f>
        <v>---Select Hop---</v>
      </c>
      <c r="J26" s="789"/>
      <c r="K26" s="66">
        <f>Recipe!E34</f>
        <v>0</v>
      </c>
      <c r="L26" s="66">
        <f>IF(Brewhouse!V17="Metric", Recipe!F34*0.0352739619, Recipe!F34)</f>
        <v>0</v>
      </c>
      <c r="M26" s="66">
        <f>Recipe!H34</f>
        <v>0</v>
      </c>
      <c r="N26" s="66">
        <f>Recipe!I34</f>
        <v>0</v>
      </c>
      <c r="O26" s="66" t="str">
        <f>IF(Recipe!J34="","",Recipe!J34)</f>
        <v/>
      </c>
      <c r="P26" s="77">
        <f>IF(O26&lt;&gt;"",O26,N26)</f>
        <v>0</v>
      </c>
      <c r="Q26" s="66">
        <f>(((P26/100)*L26)*7490)/($C$6+'Total H2O Sub'!$D$12+'Total H2O Sub'!$D$15+'Total H2O Sub'!$D$16)</f>
        <v>0</v>
      </c>
      <c r="R26" s="66">
        <f xml:space="preserve"> (IF(K26="p", IF(P26="", 0, ($D$8*1.65*(0.000125^(GravCalcs!$Q$25))) * ((1 - 2.71828182845904^(-0.04*M26))/4.15)),  IF(P26="", 0, (1.65*(0.000125^(GravCalcs!$Q$25))) * ((1 - 2.71828182845904^(-0.04*M26))/4.15))))*E26</f>
        <v>0</v>
      </c>
      <c r="S26" s="66">
        <f>Q26*R26</f>
        <v>0</v>
      </c>
      <c r="T26" s="66">
        <f>IF(ISNA(S26), 0,S26)</f>
        <v>0</v>
      </c>
    </row>
    <row r="27" spans="5:26" x14ac:dyDescent="0.25">
      <c r="E27" s="64">
        <f>0.6^((212-F27)/18)</f>
        <v>2.4384548952476061E-3</v>
      </c>
      <c r="F27" s="66">
        <f>IF(Brewhouse!V17="Metric",  (Recipe!G35*(9/5))+32, Recipe!G35)</f>
        <v>0</v>
      </c>
      <c r="G27" s="66">
        <f>IF(K27="L", L27, 0)</f>
        <v>0</v>
      </c>
      <c r="H27" s="66">
        <f>IF(K27&lt;&gt;"L", L27, 0)</f>
        <v>0</v>
      </c>
      <c r="I27" s="789" t="str">
        <f>Recipe!B35</f>
        <v>---Select Hop---</v>
      </c>
      <c r="J27" s="789"/>
      <c r="K27" s="66">
        <f>Recipe!E35</f>
        <v>0</v>
      </c>
      <c r="L27" s="66">
        <f>IF(Brewhouse!V17="Metric", Recipe!F35*0.0352739619, Recipe!F35)</f>
        <v>0</v>
      </c>
      <c r="M27" s="66">
        <f>Recipe!H35</f>
        <v>0</v>
      </c>
      <c r="N27" s="66">
        <f>Recipe!I35</f>
        <v>0</v>
      </c>
      <c r="O27" s="66" t="str">
        <f>IF(Recipe!J35="","",Recipe!J35)</f>
        <v/>
      </c>
      <c r="P27" s="77">
        <f>IF(O27&lt;&gt;"",O27,N27)</f>
        <v>0</v>
      </c>
      <c r="Q27" s="66">
        <f>(((P27/100)*L27)*7490)/($C$6+'Total H2O Sub'!$D$12+'Total H2O Sub'!$D$15+'Total H2O Sub'!$D$16)</f>
        <v>0</v>
      </c>
      <c r="R27" s="66">
        <f xml:space="preserve"> (IF(K27="p", IF(P27="", 0, ($D$8*1.65*(0.000125^(GravCalcs!$Q$25))) * ((1 - 2.71828182845904^(-0.04*M27))/4.15)),  IF(P27="", 0, (1.65*(0.000125^(GravCalcs!$Q$25))) * ((1 - 2.71828182845904^(-0.04*M27))/4.15))))*E27</f>
        <v>0</v>
      </c>
      <c r="S27" s="66">
        <f>Q27*R27</f>
        <v>0</v>
      </c>
      <c r="T27" s="66">
        <f>IF(ISNA(S27), 0,S27)</f>
        <v>0</v>
      </c>
    </row>
    <row r="28" spans="5:26" x14ac:dyDescent="0.25">
      <c r="E28" s="64">
        <f>0.6^((212-F28)/18)</f>
        <v>2.4384548952476061E-3</v>
      </c>
      <c r="F28" s="66">
        <f>IF(Brewhouse!V17="Metric",  (Recipe!G36*(9/5))+32, Recipe!G36)</f>
        <v>0</v>
      </c>
      <c r="G28" s="66">
        <f>IF(K28="L", L28, 0)</f>
        <v>0</v>
      </c>
      <c r="H28" s="66">
        <f>IF(K28&lt;&gt;"L", L28, 0)</f>
        <v>0</v>
      </c>
      <c r="I28" s="789" t="str">
        <f>Recipe!B36</f>
        <v>---Select Hop---</v>
      </c>
      <c r="J28" s="789"/>
      <c r="K28" s="66">
        <f>Recipe!E36</f>
        <v>0</v>
      </c>
      <c r="L28" s="66">
        <f>IF(Brewhouse!V17="Metric", Recipe!F36*0.0352739619, Recipe!F36)</f>
        <v>0</v>
      </c>
      <c r="M28" s="66">
        <f>Recipe!H36</f>
        <v>0</v>
      </c>
      <c r="N28" s="66">
        <f>Recipe!I36</f>
        <v>0</v>
      </c>
      <c r="O28" s="66" t="str">
        <f>IF(Recipe!J36="","",Recipe!J36)</f>
        <v/>
      </c>
      <c r="P28" s="77">
        <f>IF(O28&lt;&gt;"",O28,N28)</f>
        <v>0</v>
      </c>
      <c r="Q28" s="66">
        <f>(((P28/100)*L28)*7490)/($C$6+'Total H2O Sub'!$D$12+'Total H2O Sub'!$D$15+'Total H2O Sub'!$D$16)</f>
        <v>0</v>
      </c>
      <c r="R28" s="66">
        <f xml:space="preserve"> (IF(K28="p", IF(P28="", 0, ($D$8*1.65*(0.000125^(GravCalcs!$Q$25))) * ((1 - 2.71828182845904^(-0.04*M28))/4.15)),  IF(P28="", 0, (1.65*(0.000125^(GravCalcs!$Q$25))) * ((1 - 2.71828182845904^(-0.04*M28))/4.15))))*E28</f>
        <v>0</v>
      </c>
      <c r="S28" s="66">
        <f>Q28*R28</f>
        <v>0</v>
      </c>
      <c r="T28" s="66">
        <f>IF(ISNA(S28), 0,S28)</f>
        <v>0</v>
      </c>
    </row>
    <row r="29" spans="5:26" x14ac:dyDescent="0.25">
      <c r="E29" s="64"/>
      <c r="F29" s="78" t="s">
        <v>133</v>
      </c>
      <c r="G29" s="78">
        <f>SUM(G24:G28)</f>
        <v>0</v>
      </c>
      <c r="H29" s="78">
        <f>SUM(H24:H28)</f>
        <v>2</v>
      </c>
      <c r="I29" s="78"/>
      <c r="J29" s="78"/>
      <c r="K29" s="78"/>
      <c r="L29" s="78"/>
      <c r="M29" s="78"/>
      <c r="N29" s="78"/>
      <c r="O29" s="78"/>
      <c r="P29" s="78"/>
      <c r="Q29" s="78"/>
      <c r="R29" s="78"/>
      <c r="S29" s="78"/>
      <c r="T29" s="78"/>
      <c r="U29" s="71"/>
    </row>
    <row r="30" spans="5:26" x14ac:dyDescent="0.25">
      <c r="F30" s="78"/>
      <c r="G30" s="78"/>
      <c r="H30" s="78"/>
      <c r="I30" s="78"/>
      <c r="J30" s="78"/>
      <c r="K30" s="78"/>
      <c r="L30" s="78"/>
      <c r="M30" s="78"/>
      <c r="N30" s="78"/>
      <c r="O30" s="78"/>
      <c r="P30" s="78"/>
      <c r="Q30" s="78"/>
      <c r="R30" s="78" t="s">
        <v>274</v>
      </c>
      <c r="S30" s="78"/>
      <c r="T30" s="78">
        <f>SUM(T24:T28)</f>
        <v>8.1414820881497967</v>
      </c>
      <c r="U30" s="71"/>
    </row>
    <row r="31" spans="5:26" x14ac:dyDescent="0.25">
      <c r="F31" s="66"/>
      <c r="G31" s="66"/>
      <c r="H31" s="66"/>
      <c r="I31" s="66"/>
      <c r="J31" s="66"/>
      <c r="K31" s="66"/>
      <c r="L31" s="66"/>
      <c r="M31" s="66"/>
      <c r="N31" s="66"/>
      <c r="O31" s="66"/>
      <c r="P31" s="66"/>
      <c r="Q31" s="66"/>
      <c r="R31" s="66"/>
      <c r="S31" s="66"/>
      <c r="T31" s="66"/>
      <c r="X31" t="s">
        <v>1033</v>
      </c>
    </row>
    <row r="32" spans="5:26" x14ac:dyDescent="0.25">
      <c r="F32" s="83" t="s">
        <v>271</v>
      </c>
      <c r="G32" s="84">
        <f>G19+G29</f>
        <v>0</v>
      </c>
      <c r="H32" s="84">
        <f>H19+H29</f>
        <v>4.5</v>
      </c>
      <c r="I32" s="66"/>
      <c r="J32" s="66"/>
      <c r="K32" s="66"/>
      <c r="L32" s="66"/>
      <c r="M32" s="66"/>
      <c r="N32" s="66"/>
      <c r="O32" s="66"/>
      <c r="P32" s="83"/>
      <c r="Q32" s="66"/>
      <c r="R32" s="66"/>
      <c r="S32" s="83" t="s">
        <v>1019</v>
      </c>
      <c r="T32" s="84">
        <f>T20+T30+V19</f>
        <v>50.453456409713979</v>
      </c>
      <c r="X32">
        <f>Z20+T30+V19</f>
        <v>44.346756668247806</v>
      </c>
    </row>
    <row r="33" spans="7:24" x14ac:dyDescent="0.25">
      <c r="P33" t="s">
        <v>278</v>
      </c>
    </row>
    <row r="34" spans="7:24" x14ac:dyDescent="0.25">
      <c r="O34" s="64" t="s">
        <v>831</v>
      </c>
      <c r="T34" s="64">
        <f>T32*Brewhouse!H32</f>
        <v>50.453456409713979</v>
      </c>
      <c r="X34">
        <f>X32*Brewhouse!H32</f>
        <v>44.346756668247806</v>
      </c>
    </row>
    <row r="35" spans="7:24" x14ac:dyDescent="0.25">
      <c r="H35" s="64"/>
      <c r="I35" s="64"/>
    </row>
    <row r="36" spans="7:24" x14ac:dyDescent="0.25">
      <c r="G36" s="64"/>
      <c r="H36" s="65"/>
      <c r="I36" s="64"/>
    </row>
    <row r="37" spans="7:24" x14ac:dyDescent="0.25">
      <c r="G37" s="64"/>
      <c r="H37" s="65"/>
      <c r="I37" s="64"/>
      <c r="M37" t="s">
        <v>1034</v>
      </c>
    </row>
    <row r="38" spans="7:24" x14ac:dyDescent="0.25">
      <c r="H38" s="65" t="s">
        <v>275</v>
      </c>
      <c r="I38">
        <f>IF(T34&lt;65, T34, 16.461*LN(T34)-3.6133)</f>
        <v>50.453456409713979</v>
      </c>
      <c r="J38" t="s">
        <v>279</v>
      </c>
      <c r="M38">
        <f>IF(X34&lt;65, X34, 16.461*LN(X34)-3.6133)</f>
        <v>44.346756668247806</v>
      </c>
    </row>
    <row r="39" spans="7:24" x14ac:dyDescent="0.25">
      <c r="H39" s="65" t="s">
        <v>276</v>
      </c>
      <c r="I39">
        <f>IF(I38&gt;110, 110, I38)</f>
        <v>50.453456409713979</v>
      </c>
      <c r="J39" t="s">
        <v>280</v>
      </c>
      <c r="M39">
        <f>IF(M38&gt;110, 110, M38)</f>
        <v>44.346756668247806</v>
      </c>
    </row>
  </sheetData>
  <sheetProtection password="CB17" sheet="1"/>
  <mergeCells count="26">
    <mergeCell ref="I28:J28"/>
    <mergeCell ref="I27:J27"/>
    <mergeCell ref="I2:Q2"/>
    <mergeCell ref="I3:J3"/>
    <mergeCell ref="I4:J4"/>
    <mergeCell ref="I5:J5"/>
    <mergeCell ref="I6:J6"/>
    <mergeCell ref="I18:J18"/>
    <mergeCell ref="I15:J15"/>
    <mergeCell ref="I16:J16"/>
    <mergeCell ref="U1:U3"/>
    <mergeCell ref="V2:V3"/>
    <mergeCell ref="I26:J26"/>
    <mergeCell ref="I7:J7"/>
    <mergeCell ref="I8:J8"/>
    <mergeCell ref="I9:J9"/>
    <mergeCell ref="I10:J10"/>
    <mergeCell ref="I14:J14"/>
    <mergeCell ref="I11:J11"/>
    <mergeCell ref="I12:J12"/>
    <mergeCell ref="K22:O22"/>
    <mergeCell ref="I23:J23"/>
    <mergeCell ref="I17:J17"/>
    <mergeCell ref="I13:J13"/>
    <mergeCell ref="I24:J24"/>
    <mergeCell ref="I25:J25"/>
  </mergeCells>
  <pageMargins left="0.7" right="0.7" top="0.75" bottom="0.75" header="0.3" footer="0.3"/>
  <pageSetup orientation="portrait" horizontalDpi="0" verticalDpi="0"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dimension ref="A1:O48"/>
  <sheetViews>
    <sheetView topLeftCell="A5" workbookViewId="0">
      <selection activeCell="I29" sqref="I29"/>
    </sheetView>
  </sheetViews>
  <sheetFormatPr defaultRowHeight="12.75" x14ac:dyDescent="0.2"/>
  <cols>
    <col min="1" max="4" width="9.140625" style="14"/>
    <col min="5" max="5" width="22.28515625" style="14" customWidth="1"/>
    <col min="6" max="6" width="9.140625" style="14"/>
    <col min="7" max="7" width="7.7109375" style="14" customWidth="1"/>
    <col min="8" max="8" width="4.28515625" style="14" hidden="1" customWidth="1"/>
    <col min="9" max="16384" width="9.140625" style="14"/>
  </cols>
  <sheetData>
    <row r="1" spans="1:13" x14ac:dyDescent="0.2">
      <c r="J1" s="38"/>
      <c r="K1" s="38"/>
      <c r="L1" s="38"/>
      <c r="M1" s="38"/>
    </row>
    <row r="2" spans="1:13" x14ac:dyDescent="0.2">
      <c r="A2" s="14" t="s">
        <v>200</v>
      </c>
      <c r="J2" s="38"/>
      <c r="K2" s="39"/>
      <c r="L2" s="38"/>
      <c r="M2" s="38"/>
    </row>
    <row r="3" spans="1:13" x14ac:dyDescent="0.2">
      <c r="A3" s="14" t="s">
        <v>201</v>
      </c>
    </row>
    <row r="5" spans="1:13" x14ac:dyDescent="0.2">
      <c r="A5" s="14" t="s">
        <v>202</v>
      </c>
    </row>
    <row r="6" spans="1:13" x14ac:dyDescent="0.2">
      <c r="A6" s="14" t="s">
        <v>203</v>
      </c>
    </row>
    <row r="8" spans="1:13" x14ac:dyDescent="0.2">
      <c r="A8" s="14" t="s">
        <v>204</v>
      </c>
    </row>
    <row r="9" spans="1:13" x14ac:dyDescent="0.2">
      <c r="A9" s="14" t="s">
        <v>205</v>
      </c>
    </row>
    <row r="10" spans="1:13" x14ac:dyDescent="0.2">
      <c r="A10" s="14" t="s">
        <v>206</v>
      </c>
    </row>
    <row r="11" spans="1:13" x14ac:dyDescent="0.2">
      <c r="A11" s="14" t="s">
        <v>207</v>
      </c>
    </row>
    <row r="12" spans="1:13" x14ac:dyDescent="0.2">
      <c r="A12" s="14" t="s">
        <v>208</v>
      </c>
    </row>
    <row r="13" spans="1:13" x14ac:dyDescent="0.2">
      <c r="A13" s="14" t="s">
        <v>209</v>
      </c>
    </row>
    <row r="14" spans="1:13" x14ac:dyDescent="0.2">
      <c r="A14" s="14" t="s">
        <v>210</v>
      </c>
    </row>
    <row r="15" spans="1:13" x14ac:dyDescent="0.2">
      <c r="A15" s="14" t="s">
        <v>211</v>
      </c>
    </row>
    <row r="18" spans="1:15" x14ac:dyDescent="0.2">
      <c r="A18" s="14" t="s">
        <v>212</v>
      </c>
    </row>
    <row r="19" spans="1:15" x14ac:dyDescent="0.2">
      <c r="A19" s="38">
        <f>GravCalcs!F17</f>
        <v>12.539800000000001</v>
      </c>
      <c r="B19" s="16" t="s">
        <v>213</v>
      </c>
      <c r="K19" s="297" t="s">
        <v>788</v>
      </c>
      <c r="L19" s="14">
        <f>Recipe!H3</f>
        <v>154</v>
      </c>
    </row>
    <row r="20" spans="1:15" x14ac:dyDescent="0.2">
      <c r="A20" s="38">
        <f>'Total H2O Sub'!J24</f>
        <v>3.9186875000000003</v>
      </c>
      <c r="B20" s="16" t="s">
        <v>214</v>
      </c>
      <c r="K20" s="297" t="s">
        <v>789</v>
      </c>
      <c r="L20" s="14">
        <f>(L19*(9/5))+32</f>
        <v>309.2</v>
      </c>
    </row>
    <row r="21" spans="1:15" x14ac:dyDescent="0.2">
      <c r="A21" s="38">
        <f>IF(Brewhouse!V17="Metric", (Recipe!M6*(9/5))+32, Recipe!M6)</f>
        <v>68</v>
      </c>
      <c r="B21" s="16" t="s">
        <v>793</v>
      </c>
      <c r="K21" s="297" t="s">
        <v>790</v>
      </c>
      <c r="L21" s="14">
        <f>IF(Brewhouse!V17="Metric", L20, L19)</f>
        <v>154</v>
      </c>
    </row>
    <row r="22" spans="1:15" x14ac:dyDescent="0.2">
      <c r="A22" s="38">
        <f>L21</f>
        <v>154</v>
      </c>
      <c r="B22" s="16" t="s">
        <v>791</v>
      </c>
    </row>
    <row r="24" spans="1:15" x14ac:dyDescent="0.2">
      <c r="A24" s="16"/>
    </row>
    <row r="25" spans="1:15" x14ac:dyDescent="0.2">
      <c r="A25" s="16"/>
    </row>
    <row r="27" spans="1:15" x14ac:dyDescent="0.2">
      <c r="I27" s="14" t="s">
        <v>215</v>
      </c>
    </row>
    <row r="28" spans="1:15" x14ac:dyDescent="0.2">
      <c r="I28" s="14">
        <f>A19</f>
        <v>12.539800000000001</v>
      </c>
      <c r="J28" s="14" t="s">
        <v>216</v>
      </c>
    </row>
    <row r="29" spans="1:15" x14ac:dyDescent="0.2">
      <c r="I29" s="14">
        <f>IF(Brewhouse!V17="Metric",(I28*Brewhouse!H5*4*0.1198264268),(I28*Brewhouse!H5*4))        +IF(Brewhouse!V17="Metric",(Brewhouse!H11*4*0.264172051),(Brewhouse!H11*4))</f>
        <v>6.2691040000000005</v>
      </c>
      <c r="J29" s="14" t="s">
        <v>217</v>
      </c>
      <c r="N29" s="14">
        <f>A20*4</f>
        <v>15.674750000000001</v>
      </c>
      <c r="O29" s="14" t="s">
        <v>218</v>
      </c>
    </row>
    <row r="30" spans="1:15" x14ac:dyDescent="0.2">
      <c r="I30" s="14">
        <f>L21</f>
        <v>154</v>
      </c>
      <c r="J30" s="14" t="s">
        <v>219</v>
      </c>
    </row>
    <row r="31" spans="1:15" x14ac:dyDescent="0.2">
      <c r="I31" s="54">
        <v>168</v>
      </c>
      <c r="J31" s="16" t="s">
        <v>220</v>
      </c>
    </row>
    <row r="32" spans="1:15" x14ac:dyDescent="0.2">
      <c r="I32" s="38"/>
    </row>
    <row r="34" spans="1:13" x14ac:dyDescent="0.2">
      <c r="F34" s="16" t="s">
        <v>221</v>
      </c>
      <c r="M34" s="14">
        <f>'Total H2O Sub'!J25</f>
        <v>3.8610884999999997</v>
      </c>
    </row>
    <row r="36" spans="1:13" x14ac:dyDescent="0.2">
      <c r="I36" s="40">
        <f>((((I31-(I30-E47))*((0.2*I28)+(I29+A40)))/(M34*4))+I31)</f>
        <v>177.85946216980005</v>
      </c>
      <c r="J36" s="40" t="s">
        <v>222</v>
      </c>
    </row>
    <row r="37" spans="1:13" x14ac:dyDescent="0.2">
      <c r="I37" s="40">
        <f>((((I31-(I30-E47))*((0.2*I28)+(N29+A40)))/(M34*4))+I31)</f>
        <v>187.6034978219225</v>
      </c>
      <c r="J37" s="40" t="s">
        <v>223</v>
      </c>
    </row>
    <row r="39" spans="1:13" x14ac:dyDescent="0.2">
      <c r="A39" s="41" t="s">
        <v>224</v>
      </c>
    </row>
    <row r="40" spans="1:13" x14ac:dyDescent="0.2">
      <c r="A40" s="42">
        <f>IF(Brewhouse!V17="Metric", Brewhouse!C17*0.264172051, Brewhouse!C17)</f>
        <v>0.74</v>
      </c>
      <c r="B40" s="14" t="s">
        <v>225</v>
      </c>
      <c r="F40" s="41"/>
    </row>
    <row r="41" spans="1:13" x14ac:dyDescent="0.2">
      <c r="A41" s="42">
        <f>IF(Brewhouse!V17="Metric", Brewhouse!H5*0.5823996792, Brewhouse!H5)</f>
        <v>0.12</v>
      </c>
      <c r="B41" s="14" t="s">
        <v>226</v>
      </c>
    </row>
    <row r="42" spans="1:13" x14ac:dyDescent="0.2">
      <c r="B42" s="14" t="s">
        <v>227</v>
      </c>
      <c r="E42" s="14">
        <f>A20*4</f>
        <v>15.674750000000001</v>
      </c>
    </row>
    <row r="43" spans="1:13" x14ac:dyDescent="0.2">
      <c r="B43" s="14" t="s">
        <v>228</v>
      </c>
      <c r="E43" s="14">
        <f>(E42+A40)/A19</f>
        <v>1.3090121054562274</v>
      </c>
    </row>
    <row r="45" spans="1:13" x14ac:dyDescent="0.2">
      <c r="A45" s="14">
        <f xml:space="preserve">  IF(Brewhouse!V17="Metric", (Brewhouse!H17*(9/5)),  Brewhouse!H17)</f>
        <v>2</v>
      </c>
      <c r="B45" s="14" t="s">
        <v>229</v>
      </c>
    </row>
    <row r="46" spans="1:13" x14ac:dyDescent="0.2">
      <c r="A46" s="14">
        <f>Recipe!M3</f>
        <v>60</v>
      </c>
      <c r="B46" s="14" t="s">
        <v>230</v>
      </c>
    </row>
    <row r="47" spans="1:13" x14ac:dyDescent="0.2">
      <c r="B47" s="14" t="s">
        <v>231</v>
      </c>
      <c r="E47" s="14">
        <f>A45*(A46/60)</f>
        <v>2</v>
      </c>
    </row>
    <row r="48" spans="1:13" x14ac:dyDescent="0.2">
      <c r="E48" s="40">
        <f>((E42+A40)*((0.2/E43)*(I30-A21)+I30)-(A40*A21))/E42</f>
        <v>171.82003285538843</v>
      </c>
      <c r="F48" s="40" t="s">
        <v>232</v>
      </c>
      <c r="G48" s="40"/>
    </row>
  </sheetData>
  <sheetProtection password="CB17" sheet="1"/>
  <pageMargins left="0.7" right="0.7" top="0.75" bottom="0.75" header="0.3" footer="0.3"/>
  <pageSetup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dimension ref="B3:C12"/>
  <sheetViews>
    <sheetView workbookViewId="0">
      <selection activeCell="F16" sqref="F16"/>
    </sheetView>
  </sheetViews>
  <sheetFormatPr defaultRowHeight="15" x14ac:dyDescent="0.25"/>
  <sheetData>
    <row r="3" spans="2:3" x14ac:dyDescent="0.25">
      <c r="B3" t="s">
        <v>288</v>
      </c>
      <c r="C3">
        <f>GravCalcs!J23+1</f>
        <v>1.0637463501246882</v>
      </c>
    </row>
    <row r="4" spans="2:3" x14ac:dyDescent="0.25">
      <c r="B4" t="s">
        <v>289</v>
      </c>
      <c r="C4" t="str">
        <f>Recipe!B42</f>
        <v>Wyeast 1098 - British Ale</v>
      </c>
    </row>
    <row r="5" spans="2:3" x14ac:dyDescent="0.25">
      <c r="B5" t="s">
        <v>290</v>
      </c>
      <c r="C5">
        <f>HopCalc!C6</f>
        <v>4.9000000000000004</v>
      </c>
    </row>
    <row r="6" spans="2:3" x14ac:dyDescent="0.25">
      <c r="B6" t="s">
        <v>291</v>
      </c>
      <c r="C6" s="90" t="str">
        <f>VLOOKUP(C4,YEASTLOOKUP!$A$2:$C$120,3,0)</f>
        <v>A</v>
      </c>
    </row>
    <row r="7" spans="2:3" x14ac:dyDescent="0.25">
      <c r="B7" s="1" t="s">
        <v>292</v>
      </c>
      <c r="C7">
        <f>C5/5.1</f>
        <v>0.96078431372549034</v>
      </c>
    </row>
    <row r="8" spans="2:3" x14ac:dyDescent="0.25">
      <c r="B8" s="1" t="s">
        <v>293</v>
      </c>
      <c r="C8">
        <f>IF(C6="L",(60+(((C3-1)*1000)-48))*1.75,IF(C6="H",(60+(((C3-1)*1000)-48))*1.35,60+(((C3-1)*1000)-48)))</f>
        <v>75.746350124688206</v>
      </c>
    </row>
    <row r="9" spans="2:3" x14ac:dyDescent="0.25">
      <c r="B9" s="1" t="s">
        <v>294</v>
      </c>
      <c r="C9">
        <f>C8*C7</f>
        <v>72.775905021759272</v>
      </c>
    </row>
    <row r="12" spans="2:3" x14ac:dyDescent="0.25">
      <c r="B12" s="1" t="s">
        <v>296</v>
      </c>
      <c r="C12" t="str">
        <f>IF(C6="A","N/A",((C3-1)*1000/8)*7)</f>
        <v>N/A</v>
      </c>
    </row>
  </sheetData>
  <sheetProtection password="CB17" sheet="1"/>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dimension ref="A1:R179"/>
  <sheetViews>
    <sheetView workbookViewId="0">
      <pane ySplit="1" topLeftCell="A2" activePane="bottomLeft" state="frozen"/>
      <selection pane="bottomLeft" activeCell="I110" sqref="I110"/>
    </sheetView>
  </sheetViews>
  <sheetFormatPr defaultRowHeight="15" x14ac:dyDescent="0.25"/>
  <cols>
    <col min="1" max="1" width="24" customWidth="1"/>
    <col min="13" max="13" width="12.7109375" customWidth="1"/>
    <col min="14" max="14" width="11.5703125" customWidth="1"/>
    <col min="15" max="15" width="10.28515625" customWidth="1"/>
    <col min="22" max="22" width="9" customWidth="1"/>
  </cols>
  <sheetData>
    <row r="1" spans="1:18" x14ac:dyDescent="0.25">
      <c r="A1" t="s">
        <v>304</v>
      </c>
      <c r="B1" t="s">
        <v>305</v>
      </c>
      <c r="C1" t="s">
        <v>306</v>
      </c>
      <c r="D1" t="s">
        <v>307</v>
      </c>
      <c r="E1" t="s">
        <v>308</v>
      </c>
      <c r="F1" t="s">
        <v>309</v>
      </c>
      <c r="G1" t="s">
        <v>310</v>
      </c>
      <c r="H1" t="s">
        <v>311</v>
      </c>
      <c r="I1" t="s">
        <v>312</v>
      </c>
      <c r="J1" t="s">
        <v>313</v>
      </c>
      <c r="K1" t="s">
        <v>314</v>
      </c>
      <c r="L1" t="s">
        <v>994</v>
      </c>
    </row>
    <row r="2" spans="1:18" x14ac:dyDescent="0.25">
      <c r="A2" s="55" t="s">
        <v>344</v>
      </c>
      <c r="B2" s="95">
        <v>0</v>
      </c>
      <c r="C2" s="95">
        <v>0</v>
      </c>
      <c r="D2" s="95">
        <v>0</v>
      </c>
      <c r="E2" s="95">
        <v>0</v>
      </c>
      <c r="F2" s="94">
        <v>0</v>
      </c>
      <c r="G2" s="94">
        <v>0</v>
      </c>
      <c r="H2" s="96">
        <v>0</v>
      </c>
      <c r="I2" s="96">
        <v>0</v>
      </c>
      <c r="J2">
        <v>0</v>
      </c>
      <c r="K2">
        <v>0</v>
      </c>
      <c r="L2">
        <v>0</v>
      </c>
      <c r="M2" t="s">
        <v>304</v>
      </c>
      <c r="N2" s="96" t="str">
        <f>Recipe!H9</f>
        <v>08-English IPA</v>
      </c>
    </row>
    <row r="3" spans="1:18" x14ac:dyDescent="0.25">
      <c r="A3" t="s">
        <v>1207</v>
      </c>
      <c r="B3" s="95">
        <v>1.044</v>
      </c>
      <c r="C3" s="95">
        <v>1.052</v>
      </c>
      <c r="D3" s="95">
        <v>1.008</v>
      </c>
      <c r="E3" s="95">
        <v>1.014</v>
      </c>
      <c r="F3" s="94">
        <v>4.2999999999999997E-2</v>
      </c>
      <c r="G3" s="94">
        <v>5.5E-2</v>
      </c>
      <c r="H3" s="96">
        <v>25</v>
      </c>
      <c r="I3" s="96">
        <v>50</v>
      </c>
      <c r="J3" s="96">
        <v>11</v>
      </c>
      <c r="K3" s="96">
        <v>17</v>
      </c>
      <c r="L3" s="149">
        <v>2.2999999999999998</v>
      </c>
      <c r="M3" t="s">
        <v>316</v>
      </c>
      <c r="N3" t="s">
        <v>318</v>
      </c>
      <c r="O3" t="s">
        <v>306</v>
      </c>
    </row>
    <row r="4" spans="1:18" x14ac:dyDescent="0.25">
      <c r="A4" t="s">
        <v>332</v>
      </c>
      <c r="B4" s="95">
        <v>1.0449999999999999</v>
      </c>
      <c r="C4" s="95">
        <v>1.06</v>
      </c>
      <c r="D4" s="95">
        <v>1.01</v>
      </c>
      <c r="E4" s="95">
        <v>1.0149999999999999</v>
      </c>
      <c r="F4" s="94">
        <v>4.4999999999999998E-2</v>
      </c>
      <c r="G4" s="94">
        <v>6.2E-2</v>
      </c>
      <c r="H4" s="96">
        <v>25</v>
      </c>
      <c r="I4" s="96">
        <v>40</v>
      </c>
      <c r="J4" s="96">
        <v>10</v>
      </c>
      <c r="K4" s="96">
        <v>17</v>
      </c>
      <c r="L4" s="149">
        <v>2.2999999999999998</v>
      </c>
      <c r="M4">
        <f>GravCalcs!J23+1</f>
        <v>1.0637463501246882</v>
      </c>
      <c r="N4">
        <f>IF(N2&lt;&gt;"",VLOOKUP(N2,STYLES!$A$2:$B$300,2,0),0)</f>
        <v>1.05</v>
      </c>
      <c r="O4">
        <f>IF(N2&lt;&gt;"",VLOOKUP(N2,STYLES!$A$2:$C$300,3,0),0)</f>
        <v>1.075</v>
      </c>
      <c r="P4" t="str">
        <f>IF($N$2="---Select Style---", "GOOD", IF(M4&gt;=N4, IF(M4&lt;=O4, "GOOD", "BAD"), "BAD"))</f>
        <v>GOOD</v>
      </c>
    </row>
    <row r="5" spans="1:18" x14ac:dyDescent="0.25">
      <c r="A5" t="s">
        <v>343</v>
      </c>
      <c r="B5" s="95">
        <v>1.08</v>
      </c>
      <c r="C5" s="95">
        <v>1.1200000000000001</v>
      </c>
      <c r="D5" s="95">
        <v>1.016</v>
      </c>
      <c r="E5" s="95">
        <v>1.03</v>
      </c>
      <c r="F5" s="94">
        <v>0.08</v>
      </c>
      <c r="G5" s="94">
        <v>0.12</v>
      </c>
      <c r="H5" s="96">
        <v>50</v>
      </c>
      <c r="I5" s="96">
        <v>100</v>
      </c>
      <c r="J5" s="96">
        <v>10</v>
      </c>
      <c r="K5" s="96">
        <v>19</v>
      </c>
      <c r="L5" s="149">
        <v>2.2999999999999998</v>
      </c>
      <c r="M5" t="s">
        <v>317</v>
      </c>
      <c r="N5" t="s">
        <v>319</v>
      </c>
      <c r="O5" t="s">
        <v>320</v>
      </c>
    </row>
    <row r="6" spans="1:18" x14ac:dyDescent="0.25">
      <c r="A6" t="s">
        <v>496</v>
      </c>
      <c r="B6" s="95">
        <v>1.0449999999999999</v>
      </c>
      <c r="C6" s="95">
        <v>1.06</v>
      </c>
      <c r="D6" s="95">
        <v>1.01</v>
      </c>
      <c r="E6" s="95">
        <v>1.016</v>
      </c>
      <c r="F6" s="94">
        <v>4.2999999999999997E-2</v>
      </c>
      <c r="G6" s="94">
        <v>6.2E-2</v>
      </c>
      <c r="H6" s="96">
        <v>20</v>
      </c>
      <c r="I6" s="96">
        <v>30</v>
      </c>
      <c r="J6" s="96">
        <v>18</v>
      </c>
      <c r="K6" s="96">
        <v>35</v>
      </c>
      <c r="L6" s="149">
        <v>2.2999999999999998</v>
      </c>
      <c r="M6">
        <f>(GravCalcs!O23+1)</f>
        <v>1.0157481183484123</v>
      </c>
      <c r="N6">
        <f>IF(N2&lt;&gt;"",VLOOKUP(N2,STYLES!$A$2:$D$300,4,0),0)</f>
        <v>1.01</v>
      </c>
      <c r="O6">
        <f>IF(N2&lt;&gt;"",VLOOKUP(N2,STYLES!$A$2:$E$300,5,0),0)</f>
        <v>1.018</v>
      </c>
      <c r="P6" t="str">
        <f>IF($N$2="---Select Style---", "GOOD", IF(M6&gt;=N6, IF(M6&lt;=O6, "GOOD", "BAD"), "BAD"))</f>
        <v>GOOD</v>
      </c>
    </row>
    <row r="7" spans="1:18" x14ac:dyDescent="0.25">
      <c r="A7" t="s">
        <v>500</v>
      </c>
      <c r="B7" s="95">
        <v>1.056</v>
      </c>
      <c r="C7" s="95">
        <v>1.07</v>
      </c>
      <c r="D7" s="95">
        <v>1.008</v>
      </c>
      <c r="E7" s="95">
        <v>1.014</v>
      </c>
      <c r="F7" s="94">
        <v>5.5E-2</v>
      </c>
      <c r="G7" s="94">
        <v>7.4999999999999997E-2</v>
      </c>
      <c r="H7" s="96">
        <v>40</v>
      </c>
      <c r="I7" s="96">
        <v>70</v>
      </c>
      <c r="J7" s="96">
        <v>6</v>
      </c>
      <c r="K7" s="96">
        <v>14</v>
      </c>
      <c r="L7" s="149">
        <v>2.2999999999999998</v>
      </c>
      <c r="M7" t="s">
        <v>321</v>
      </c>
      <c r="N7" t="s">
        <v>322</v>
      </c>
      <c r="O7" t="s">
        <v>323</v>
      </c>
      <c r="Q7" t="s">
        <v>738</v>
      </c>
    </row>
    <row r="8" spans="1:18" x14ac:dyDescent="0.25">
      <c r="A8" t="s">
        <v>1191</v>
      </c>
      <c r="B8" s="95">
        <v>1.04</v>
      </c>
      <c r="C8" s="95">
        <v>1.05</v>
      </c>
      <c r="D8" s="95">
        <v>1.004</v>
      </c>
      <c r="E8" s="95">
        <v>1.01</v>
      </c>
      <c r="F8" s="94">
        <v>4.2000000000000003E-2</v>
      </c>
      <c r="G8" s="94">
        <v>5.2999999999999999E-2</v>
      </c>
      <c r="H8" s="96">
        <v>8</v>
      </c>
      <c r="I8" s="96">
        <v>18</v>
      </c>
      <c r="J8" s="96">
        <v>2</v>
      </c>
      <c r="K8" s="96">
        <v>4</v>
      </c>
      <c r="L8" s="149">
        <v>2.7</v>
      </c>
      <c r="M8">
        <f>Recipe!G55</f>
        <v>6.2997679206362164E-2</v>
      </c>
      <c r="N8">
        <f>IF(N2&lt;&gt;"",VLOOKUP(N2,STYLES!$A$2:$F$300,6,0),0)</f>
        <v>0.05</v>
      </c>
      <c r="O8">
        <f>IF(N2&lt;&gt;"",VLOOKUP(N2,STYLES!$A$2:$G$300,7,0),0)</f>
        <v>7.4999999999999997E-2</v>
      </c>
      <c r="P8" t="str">
        <f>IF($N$2="---Select Style---", "GOOD", IF(M8&gt;=N8, IF(M8&lt;=O8, "GOOD", "BAD"), "BAD"))</f>
        <v>GOOD</v>
      </c>
      <c r="Q8">
        <f>Recipe!M50</f>
        <v>6.5680546617751759E-2</v>
      </c>
      <c r="R8" t="str">
        <f>IF($N$2="---Select Style---", "GOOD", IF(Q8&gt;=N8, IF(Q8&lt;=O8, "GOOD", "BAD"), "BAD"))</f>
        <v>GOOD</v>
      </c>
    </row>
    <row r="9" spans="1:18" x14ac:dyDescent="0.25">
      <c r="A9" t="s">
        <v>1190</v>
      </c>
      <c r="B9" s="95">
        <v>1.028</v>
      </c>
      <c r="C9" s="95">
        <v>1.04</v>
      </c>
      <c r="D9" s="95">
        <v>0.998</v>
      </c>
      <c r="E9" s="95">
        <v>1.008</v>
      </c>
      <c r="F9" s="94">
        <v>2.8000000000000001E-2</v>
      </c>
      <c r="G9" s="94">
        <v>4.2000000000000003E-2</v>
      </c>
      <c r="H9" s="96">
        <v>8</v>
      </c>
      <c r="I9" s="96">
        <v>12</v>
      </c>
      <c r="J9" s="96">
        <v>2</v>
      </c>
      <c r="K9" s="96">
        <v>3</v>
      </c>
      <c r="L9" s="188">
        <v>2.7</v>
      </c>
      <c r="M9" t="s">
        <v>324</v>
      </c>
      <c r="N9" t="s">
        <v>325</v>
      </c>
      <c r="O9" t="s">
        <v>326</v>
      </c>
    </row>
    <row r="10" spans="1:18" x14ac:dyDescent="0.25">
      <c r="A10" t="s">
        <v>505</v>
      </c>
      <c r="B10" s="95">
        <v>1.0449999999999999</v>
      </c>
      <c r="C10" s="95">
        <v>1.06</v>
      </c>
      <c r="D10" s="95">
        <v>1.01</v>
      </c>
      <c r="E10" s="95">
        <v>1.0149999999999999</v>
      </c>
      <c r="F10" s="94">
        <v>4.4999999999999998E-2</v>
      </c>
      <c r="G10" s="94">
        <v>6.2E-2</v>
      </c>
      <c r="H10" s="96">
        <v>30</v>
      </c>
      <c r="I10" s="96">
        <v>50</v>
      </c>
      <c r="J10" s="96">
        <v>5</v>
      </c>
      <c r="K10" s="96">
        <v>10</v>
      </c>
      <c r="L10" s="149">
        <v>2.2999999999999998</v>
      </c>
      <c r="M10" s="96">
        <f>Recipe!M51</f>
        <v>42.311974321564179</v>
      </c>
      <c r="N10">
        <f>IF(N2&lt;&gt;"",VLOOKUP(N2,STYLES!$A$2:$H$300,8,0),0)</f>
        <v>40</v>
      </c>
      <c r="O10">
        <f>IF(N2&lt;&gt;"",VLOOKUP(N2,STYLES!$A$2:$I$300,9,0),0)</f>
        <v>60</v>
      </c>
      <c r="P10" t="str">
        <f>IF($N$2="---Select Style---", "GOOD", IF(M10&gt;=N10, IF(M10&lt;=O10, "GOOD", "BAD"), "BAD"))</f>
        <v>GOOD</v>
      </c>
    </row>
    <row r="11" spans="1:18" x14ac:dyDescent="0.25">
      <c r="A11" t="s">
        <v>1231</v>
      </c>
      <c r="B11" s="95">
        <v>1.05</v>
      </c>
      <c r="C11" s="95">
        <v>1.07</v>
      </c>
      <c r="D11" s="95">
        <v>1.012</v>
      </c>
      <c r="E11" s="95">
        <v>1.018</v>
      </c>
      <c r="F11" s="94">
        <v>4.8000000000000001E-2</v>
      </c>
      <c r="G11" s="94">
        <v>6.5000000000000002E-2</v>
      </c>
      <c r="H11" s="96">
        <v>25</v>
      </c>
      <c r="I11" s="96">
        <v>50</v>
      </c>
      <c r="J11" s="96">
        <v>22</v>
      </c>
      <c r="K11" s="96">
        <v>40</v>
      </c>
      <c r="L11" s="149">
        <v>2.2999999999999998</v>
      </c>
      <c r="M11" t="s">
        <v>327</v>
      </c>
      <c r="N11" t="s">
        <v>328</v>
      </c>
      <c r="O11" t="s">
        <v>329</v>
      </c>
    </row>
    <row r="12" spans="1:18" x14ac:dyDescent="0.25">
      <c r="A12" t="s">
        <v>336</v>
      </c>
      <c r="B12" s="95">
        <v>1.05</v>
      </c>
      <c r="C12" s="95">
        <v>1.075</v>
      </c>
      <c r="D12" s="95">
        <v>1.01</v>
      </c>
      <c r="E12" s="95">
        <v>1.022</v>
      </c>
      <c r="F12" s="94">
        <v>0.05</v>
      </c>
      <c r="G12" s="94">
        <v>7.0000000000000007E-2</v>
      </c>
      <c r="H12" s="96">
        <v>35</v>
      </c>
      <c r="I12" s="96">
        <v>75</v>
      </c>
      <c r="J12" s="96">
        <v>30</v>
      </c>
      <c r="K12" s="96">
        <v>40</v>
      </c>
      <c r="L12" s="149">
        <v>2.5</v>
      </c>
      <c r="M12" s="96">
        <f>Recipe!M52</f>
        <v>50.453456409713979</v>
      </c>
      <c r="N12">
        <f>IF(N2&lt;&gt;"",VLOOKUP(N2,STYLES!$A$2:$H$300,8,0),0)</f>
        <v>40</v>
      </c>
      <c r="O12">
        <f>IF(N2&lt;&gt;"",VLOOKUP(N2,STYLES!$A$2:$I$300,9,0),0)</f>
        <v>60</v>
      </c>
      <c r="P12" t="str">
        <f>IF($N$2="---Select Style---", "GOOD", IF(M12&gt;=N12, IF(M12&lt;=O12, "GOOD", "BAD"), "BAD"))</f>
        <v>GOOD</v>
      </c>
    </row>
    <row r="13" spans="1:18" x14ac:dyDescent="0.25">
      <c r="A13" t="s">
        <v>1240</v>
      </c>
      <c r="B13" s="95">
        <v>1.0620000000000001</v>
      </c>
      <c r="C13" s="95">
        <v>1.0900000000000001</v>
      </c>
      <c r="D13" s="95">
        <v>1.014</v>
      </c>
      <c r="E13" s="95">
        <v>1.024</v>
      </c>
      <c r="F13" s="94">
        <v>6.3E-2</v>
      </c>
      <c r="G13" s="94">
        <v>0.1</v>
      </c>
      <c r="H13" s="96">
        <v>50</v>
      </c>
      <c r="I13" s="96">
        <v>100</v>
      </c>
      <c r="J13" s="96">
        <v>7</v>
      </c>
      <c r="K13" s="96">
        <v>19</v>
      </c>
      <c r="L13" s="149">
        <v>2.2999999999999998</v>
      </c>
      <c r="M13" t="s">
        <v>330</v>
      </c>
      <c r="N13" t="s">
        <v>331</v>
      </c>
      <c r="O13" t="s">
        <v>314</v>
      </c>
    </row>
    <row r="14" spans="1:18" x14ac:dyDescent="0.25">
      <c r="A14" t="s">
        <v>1192</v>
      </c>
      <c r="B14" s="95">
        <v>1.04</v>
      </c>
      <c r="C14" s="95">
        <v>1.0549999999999999</v>
      </c>
      <c r="D14" s="95">
        <v>1.008</v>
      </c>
      <c r="E14" s="95">
        <v>1.0129999999999999</v>
      </c>
      <c r="F14" s="94">
        <v>0.04</v>
      </c>
      <c r="G14" s="94">
        <v>5.5E-2</v>
      </c>
      <c r="H14" s="96">
        <v>15</v>
      </c>
      <c r="I14" s="96">
        <v>30</v>
      </c>
      <c r="J14" s="96">
        <v>3</v>
      </c>
      <c r="K14" s="96">
        <v>6</v>
      </c>
      <c r="L14" s="149">
        <v>2.5</v>
      </c>
      <c r="M14" s="96">
        <f>Recipe!M53</f>
        <v>18.0441012056937</v>
      </c>
      <c r="N14">
        <f>IF(N2&lt;&gt;"",VLOOKUP(N2,STYLES!$A$2:$J$300,10,0),0)</f>
        <v>8</v>
      </c>
      <c r="O14">
        <f>IF(N2&lt;&gt;"",VLOOKUP(N2,STYLES!$A$2:$K$300,11,0),0)</f>
        <v>14</v>
      </c>
      <c r="P14" t="str">
        <f>IF($N$2="---Select Style---", "GOOD", IF(M14&gt;=N14, IF(M14&lt;=O14, "GOOD", "BAD"), "BAD"))</f>
        <v>BAD</v>
      </c>
    </row>
    <row r="15" spans="1:18" x14ac:dyDescent="0.25">
      <c r="A15" t="s">
        <v>1218</v>
      </c>
      <c r="B15" s="95">
        <v>1.038</v>
      </c>
      <c r="C15" s="95">
        <v>1.05</v>
      </c>
      <c r="D15" s="95">
        <v>1.004</v>
      </c>
      <c r="E15" s="95">
        <v>1.006</v>
      </c>
      <c r="F15" s="94">
        <v>4.4999999999999998E-2</v>
      </c>
      <c r="G15" s="94">
        <v>0.06</v>
      </c>
      <c r="H15" s="96">
        <v>20</v>
      </c>
      <c r="I15" s="96">
        <v>35</v>
      </c>
      <c r="J15" s="96">
        <v>4</v>
      </c>
      <c r="K15" s="96">
        <v>7</v>
      </c>
      <c r="L15" s="149">
        <v>2.7</v>
      </c>
    </row>
    <row r="16" spans="1:18" x14ac:dyDescent="0.25">
      <c r="A16" t="s">
        <v>333</v>
      </c>
      <c r="B16" s="95">
        <v>1.06</v>
      </c>
      <c r="C16" s="95">
        <v>1.0900000000000001</v>
      </c>
      <c r="D16" s="95">
        <v>1.016</v>
      </c>
      <c r="E16" s="95">
        <v>1.024</v>
      </c>
      <c r="F16" s="94">
        <v>6.5000000000000002E-2</v>
      </c>
      <c r="G16" s="94">
        <v>9.5000000000000001E-2</v>
      </c>
      <c r="H16" s="96">
        <v>20</v>
      </c>
      <c r="I16" s="96">
        <v>40</v>
      </c>
      <c r="J16" s="96">
        <v>17</v>
      </c>
      <c r="K16" s="96">
        <v>30</v>
      </c>
      <c r="L16" s="149">
        <v>2.2999999999999998</v>
      </c>
    </row>
    <row r="17" spans="1:15" x14ac:dyDescent="0.25">
      <c r="A17" t="s">
        <v>663</v>
      </c>
      <c r="B17" s="95">
        <v>1.0620000000000001</v>
      </c>
      <c r="C17" s="95">
        <v>1.075</v>
      </c>
      <c r="D17" s="95">
        <v>1.008</v>
      </c>
      <c r="E17" s="95">
        <v>1.018</v>
      </c>
      <c r="F17" s="94">
        <v>0.06</v>
      </c>
      <c r="G17" s="94">
        <v>7.4999999999999997E-2</v>
      </c>
      <c r="H17" s="96">
        <v>15</v>
      </c>
      <c r="I17" s="96">
        <v>30</v>
      </c>
      <c r="J17" s="96">
        <v>4</v>
      </c>
      <c r="K17" s="96">
        <v>7</v>
      </c>
      <c r="L17" s="149">
        <v>3</v>
      </c>
    </row>
    <row r="18" spans="1:15" x14ac:dyDescent="0.25">
      <c r="A18" t="s">
        <v>342</v>
      </c>
      <c r="B18" s="95">
        <v>1.075</v>
      </c>
      <c r="C18" s="95">
        <v>1.1100000000000001</v>
      </c>
      <c r="D18" s="95">
        <v>1.01</v>
      </c>
      <c r="E18" s="95">
        <v>1.024</v>
      </c>
      <c r="F18" s="94">
        <v>0.08</v>
      </c>
      <c r="G18" s="94">
        <v>0.12</v>
      </c>
      <c r="H18" s="96">
        <v>20</v>
      </c>
      <c r="I18" s="96">
        <v>35</v>
      </c>
      <c r="J18" s="96">
        <v>12</v>
      </c>
      <c r="K18" s="96">
        <v>22</v>
      </c>
      <c r="L18" s="149">
        <v>2.7</v>
      </c>
    </row>
    <row r="19" spans="1:15" x14ac:dyDescent="0.25">
      <c r="A19" t="s">
        <v>664</v>
      </c>
      <c r="B19" s="95">
        <v>1.0620000000000001</v>
      </c>
      <c r="C19" s="95">
        <v>1.075</v>
      </c>
      <c r="D19" s="95">
        <v>1.008</v>
      </c>
      <c r="E19" s="95">
        <v>1.018</v>
      </c>
      <c r="F19" s="94">
        <v>0.06</v>
      </c>
      <c r="G19" s="94">
        <v>7.5999999999999998E-2</v>
      </c>
      <c r="H19" s="96">
        <v>15</v>
      </c>
      <c r="I19" s="96">
        <v>25</v>
      </c>
      <c r="J19" s="96">
        <v>10</v>
      </c>
      <c r="K19" s="96">
        <v>17</v>
      </c>
      <c r="L19" s="149">
        <v>2.5</v>
      </c>
      <c r="O19" s="99"/>
    </row>
    <row r="20" spans="1:15" x14ac:dyDescent="0.25">
      <c r="A20" t="s">
        <v>341</v>
      </c>
      <c r="B20" s="95">
        <v>1.07</v>
      </c>
      <c r="C20" s="95">
        <v>1.095</v>
      </c>
      <c r="D20" s="95">
        <v>1.0049999999999999</v>
      </c>
      <c r="E20" s="95">
        <v>1.016</v>
      </c>
      <c r="F20" s="94">
        <v>7.4999999999999997E-2</v>
      </c>
      <c r="G20" s="94">
        <v>0.105</v>
      </c>
      <c r="H20" s="96">
        <v>22</v>
      </c>
      <c r="I20" s="96">
        <v>35</v>
      </c>
      <c r="J20" s="96">
        <v>3</v>
      </c>
      <c r="K20" s="96">
        <v>6</v>
      </c>
      <c r="L20" s="149">
        <v>4</v>
      </c>
    </row>
    <row r="21" spans="1:15" x14ac:dyDescent="0.25">
      <c r="A21" t="s">
        <v>1233</v>
      </c>
      <c r="B21" s="95">
        <v>1.0580000000000001</v>
      </c>
      <c r="C21" s="95">
        <v>1.08</v>
      </c>
      <c r="D21" s="95">
        <v>1.008</v>
      </c>
      <c r="E21" s="95">
        <v>1.016</v>
      </c>
      <c r="F21" s="94">
        <v>6.2E-2</v>
      </c>
      <c r="G21" s="94">
        <v>9.5000000000000001E-2</v>
      </c>
      <c r="H21" s="96">
        <v>50</v>
      </c>
      <c r="I21" s="96">
        <v>100</v>
      </c>
      <c r="J21" s="96">
        <v>5</v>
      </c>
      <c r="K21" s="96">
        <v>15</v>
      </c>
      <c r="L21" s="149">
        <v>2.4</v>
      </c>
    </row>
    <row r="22" spans="1:15" x14ac:dyDescent="0.25">
      <c r="A22" t="s">
        <v>338</v>
      </c>
      <c r="B22" s="95">
        <v>1.048</v>
      </c>
      <c r="C22" s="95">
        <v>1.054</v>
      </c>
      <c r="D22" s="95">
        <v>1.01</v>
      </c>
      <c r="E22" s="95">
        <v>1.014</v>
      </c>
      <c r="F22" s="94">
        <v>4.8000000000000001E-2</v>
      </c>
      <c r="G22" s="94">
        <v>5.5E-2</v>
      </c>
      <c r="H22" s="96">
        <v>20</v>
      </c>
      <c r="I22" s="96">
        <v>30</v>
      </c>
      <c r="J22" s="96">
        <v>8</v>
      </c>
      <c r="K22" s="96">
        <v>14</v>
      </c>
      <c r="L22" s="149">
        <v>2.4</v>
      </c>
    </row>
    <row r="23" spans="1:15" x14ac:dyDescent="0.25">
      <c r="A23" t="s">
        <v>340</v>
      </c>
      <c r="B23" s="95">
        <v>1.075</v>
      </c>
      <c r="C23" s="95">
        <v>1.085</v>
      </c>
      <c r="D23" s="95">
        <v>1.008</v>
      </c>
      <c r="E23" s="95">
        <v>1.014</v>
      </c>
      <c r="F23" s="94">
        <v>7.4999999999999997E-2</v>
      </c>
      <c r="G23" s="94">
        <v>9.5000000000000001E-2</v>
      </c>
      <c r="H23" s="96">
        <v>20</v>
      </c>
      <c r="I23" s="96">
        <v>40</v>
      </c>
      <c r="J23" s="96">
        <v>4.5</v>
      </c>
      <c r="K23" s="96">
        <v>7</v>
      </c>
      <c r="L23" s="149">
        <v>3</v>
      </c>
    </row>
    <row r="24" spans="1:15" x14ac:dyDescent="0.25">
      <c r="A24" t="s">
        <v>1242</v>
      </c>
      <c r="B24" s="95">
        <v>1.028</v>
      </c>
      <c r="C24" s="95">
        <v>1.032</v>
      </c>
      <c r="D24" s="95">
        <v>1.0029999999999999</v>
      </c>
      <c r="E24" s="95">
        <v>1.006</v>
      </c>
      <c r="F24" s="94">
        <v>2.8000000000000001E-2</v>
      </c>
      <c r="G24" s="94">
        <v>3.7999999999999999E-2</v>
      </c>
      <c r="H24" s="96">
        <v>3</v>
      </c>
      <c r="I24" s="96">
        <v>8</v>
      </c>
      <c r="J24" s="96">
        <v>2</v>
      </c>
      <c r="K24" s="96">
        <v>3</v>
      </c>
      <c r="L24" s="149">
        <v>3.5</v>
      </c>
    </row>
    <row r="25" spans="1:15" x14ac:dyDescent="0.25">
      <c r="A25" t="s">
        <v>1215</v>
      </c>
      <c r="B25" s="95">
        <v>1.04</v>
      </c>
      <c r="C25" s="95">
        <v>1.048</v>
      </c>
      <c r="D25" s="95">
        <v>1.008</v>
      </c>
      <c r="E25" s="95">
        <v>1.012</v>
      </c>
      <c r="F25" s="94">
        <v>3.7999999999999999E-2</v>
      </c>
      <c r="G25" s="94">
        <v>4.5999999999999999E-2</v>
      </c>
      <c r="H25" s="96">
        <v>25</v>
      </c>
      <c r="I25" s="96">
        <v>40</v>
      </c>
      <c r="J25" s="96">
        <v>8</v>
      </c>
      <c r="K25" s="96">
        <v>16</v>
      </c>
      <c r="L25" s="149">
        <v>2</v>
      </c>
    </row>
    <row r="26" spans="1:15" x14ac:dyDescent="0.25">
      <c r="A26" t="s">
        <v>339</v>
      </c>
      <c r="B26" s="95">
        <v>1.06</v>
      </c>
      <c r="C26" s="95">
        <v>1.08</v>
      </c>
      <c r="D26" s="95">
        <v>1.008</v>
      </c>
      <c r="E26" s="95">
        <v>1.016</v>
      </c>
      <c r="F26" s="94">
        <v>0.06</v>
      </c>
      <c r="G26" s="94">
        <v>8.5000000000000006E-2</v>
      </c>
      <c r="H26" s="96">
        <v>18</v>
      </c>
      <c r="I26" s="96">
        <v>28</v>
      </c>
      <c r="J26" s="96">
        <v>6</v>
      </c>
      <c r="K26" s="96">
        <v>19</v>
      </c>
      <c r="L26" s="149">
        <v>2.5</v>
      </c>
    </row>
    <row r="27" spans="1:15" x14ac:dyDescent="0.25">
      <c r="A27" t="s">
        <v>1234</v>
      </c>
      <c r="B27" s="95">
        <v>1.05</v>
      </c>
      <c r="C27" s="95">
        <v>1.085</v>
      </c>
      <c r="D27" s="95">
        <v>1.01</v>
      </c>
      <c r="E27" s="95">
        <v>1.018</v>
      </c>
      <c r="F27" s="94">
        <v>5.5E-2</v>
      </c>
      <c r="G27" s="94">
        <v>0.09</v>
      </c>
      <c r="H27" s="96">
        <v>50</v>
      </c>
      <c r="I27" s="96">
        <v>90</v>
      </c>
      <c r="J27" s="96">
        <v>25</v>
      </c>
      <c r="K27" s="96">
        <v>40</v>
      </c>
      <c r="L27" s="149">
        <v>2.2999999999999998</v>
      </c>
    </row>
    <row r="28" spans="1:15" x14ac:dyDescent="0.25">
      <c r="A28" t="s">
        <v>648</v>
      </c>
      <c r="B28" s="95">
        <v>1.038</v>
      </c>
      <c r="C28" s="95">
        <v>1.054</v>
      </c>
      <c r="D28" s="95">
        <v>1.008</v>
      </c>
      <c r="E28" s="95">
        <v>1.0129999999999999</v>
      </c>
      <c r="F28" s="94">
        <v>3.7999999999999999E-2</v>
      </c>
      <c r="G28" s="94">
        <v>5.5E-2</v>
      </c>
      <c r="H28" s="96">
        <v>15</v>
      </c>
      <c r="I28" s="96">
        <v>28</v>
      </c>
      <c r="J28" s="96">
        <v>3</v>
      </c>
      <c r="K28" s="96">
        <v>6</v>
      </c>
      <c r="L28" s="149">
        <v>2.5</v>
      </c>
    </row>
    <row r="29" spans="1:15" x14ac:dyDescent="0.25">
      <c r="A29" t="s">
        <v>1220</v>
      </c>
      <c r="B29" s="95">
        <v>1.04</v>
      </c>
      <c r="C29" s="95">
        <v>1.052</v>
      </c>
      <c r="D29" s="95">
        <v>1.008</v>
      </c>
      <c r="E29" s="95">
        <v>1.0129999999999999</v>
      </c>
      <c r="F29" s="94">
        <v>4.2000000000000003E-2</v>
      </c>
      <c r="G29" s="94">
        <v>5.3999999999999999E-2</v>
      </c>
      <c r="H29" s="96">
        <v>20</v>
      </c>
      <c r="I29" s="96">
        <v>30</v>
      </c>
      <c r="J29" s="96">
        <v>12</v>
      </c>
      <c r="K29" s="96">
        <v>22</v>
      </c>
      <c r="L29" s="149">
        <v>2.1</v>
      </c>
    </row>
    <row r="30" spans="1:15" x14ac:dyDescent="0.25">
      <c r="A30" t="s">
        <v>1217</v>
      </c>
      <c r="B30" s="95">
        <v>1.038</v>
      </c>
      <c r="C30" s="95">
        <v>1.0529999999999999</v>
      </c>
      <c r="D30" s="95">
        <v>1.006</v>
      </c>
      <c r="E30" s="95">
        <v>1.012</v>
      </c>
      <c r="F30" s="94">
        <v>3.7999999999999999E-2</v>
      </c>
      <c r="G30" s="94">
        <v>0.05</v>
      </c>
      <c r="H30" s="96">
        <v>20</v>
      </c>
      <c r="I30" s="96">
        <v>45</v>
      </c>
      <c r="J30" s="96">
        <v>2</v>
      </c>
      <c r="K30" s="96">
        <v>6</v>
      </c>
      <c r="L30" s="149">
        <v>2.2000000000000002</v>
      </c>
    </row>
    <row r="31" spans="1:15" x14ac:dyDescent="0.25">
      <c r="A31" t="s">
        <v>1228</v>
      </c>
      <c r="B31" s="95">
        <v>1.0549999999999999</v>
      </c>
      <c r="C31" s="95">
        <v>1.08</v>
      </c>
      <c r="D31" s="95">
        <v>1.0149999999999999</v>
      </c>
      <c r="E31" s="95">
        <v>1.022</v>
      </c>
      <c r="F31" s="94">
        <v>5.5E-2</v>
      </c>
      <c r="G31" s="94">
        <v>0.08</v>
      </c>
      <c r="H31" s="96">
        <v>30</v>
      </c>
      <c r="I31" s="96">
        <v>60</v>
      </c>
      <c r="J31" s="96">
        <v>8</v>
      </c>
      <c r="K31" s="96">
        <v>22</v>
      </c>
      <c r="L31" s="149">
        <v>2</v>
      </c>
    </row>
    <row r="32" spans="1:15" x14ac:dyDescent="0.25">
      <c r="A32" t="s">
        <v>1235</v>
      </c>
      <c r="B32" s="95">
        <v>1.056</v>
      </c>
      <c r="C32" s="95">
        <v>1.07</v>
      </c>
      <c r="D32" s="95">
        <v>1.008</v>
      </c>
      <c r="E32" s="95">
        <v>1.016</v>
      </c>
      <c r="F32" s="94">
        <v>5.5E-2</v>
      </c>
      <c r="G32" s="94">
        <v>7.4999999999999997E-2</v>
      </c>
      <c r="H32" s="96">
        <v>40</v>
      </c>
      <c r="I32" s="96">
        <v>70</v>
      </c>
      <c r="J32" s="96">
        <v>11</v>
      </c>
      <c r="K32" s="96">
        <v>19</v>
      </c>
      <c r="L32" s="149">
        <v>2.4</v>
      </c>
    </row>
    <row r="33" spans="1:12" x14ac:dyDescent="0.25">
      <c r="A33" t="s">
        <v>1230</v>
      </c>
      <c r="B33" s="95">
        <v>1.048</v>
      </c>
      <c r="C33" s="95">
        <v>1.054</v>
      </c>
      <c r="D33" s="95">
        <v>1.0109999999999999</v>
      </c>
      <c r="E33" s="95">
        <v>1.014</v>
      </c>
      <c r="F33" s="94">
        <v>4.4999999999999998E-2</v>
      </c>
      <c r="G33" s="94">
        <v>5.5E-2</v>
      </c>
      <c r="H33" s="96">
        <v>30</v>
      </c>
      <c r="I33" s="96">
        <v>45</v>
      </c>
      <c r="J33" s="96">
        <v>10</v>
      </c>
      <c r="K33" s="96">
        <v>14</v>
      </c>
      <c r="L33" s="149">
        <v>2.4</v>
      </c>
    </row>
    <row r="34" spans="1:12" x14ac:dyDescent="0.25">
      <c r="A34" t="s">
        <v>665</v>
      </c>
      <c r="B34" s="95">
        <v>1.042</v>
      </c>
      <c r="C34" s="95">
        <v>1.0549999999999999</v>
      </c>
      <c r="D34" s="95">
        <v>1.006</v>
      </c>
      <c r="E34" s="95">
        <v>1.012</v>
      </c>
      <c r="F34" s="94">
        <v>4.2000000000000003E-2</v>
      </c>
      <c r="G34" s="94">
        <v>5.6000000000000001E-2</v>
      </c>
      <c r="H34" s="96">
        <v>8</v>
      </c>
      <c r="I34" s="96">
        <v>20</v>
      </c>
      <c r="J34" s="149">
        <v>2.5</v>
      </c>
      <c r="K34" s="96">
        <v>5</v>
      </c>
      <c r="L34" s="149">
        <v>2.5</v>
      </c>
    </row>
    <row r="35" spans="1:12" x14ac:dyDescent="0.25">
      <c r="A35" t="s">
        <v>1198</v>
      </c>
      <c r="B35" s="95">
        <v>1.044</v>
      </c>
      <c r="C35" s="95">
        <v>1.06</v>
      </c>
      <c r="D35" s="95">
        <v>1.0129999999999999</v>
      </c>
      <c r="E35" s="95">
        <v>1.0169999999999999</v>
      </c>
      <c r="F35" s="94">
        <v>4.3999999999999997E-2</v>
      </c>
      <c r="G35" s="94">
        <v>5.8000000000000003E-2</v>
      </c>
      <c r="H35" s="96">
        <v>20</v>
      </c>
      <c r="I35" s="96">
        <v>35</v>
      </c>
      <c r="J35" s="96">
        <v>10</v>
      </c>
      <c r="K35" s="96">
        <v>16</v>
      </c>
      <c r="L35" s="149">
        <v>2.2999999999999998</v>
      </c>
    </row>
    <row r="36" spans="1:12" x14ac:dyDescent="0.25">
      <c r="A36" t="s">
        <v>1199</v>
      </c>
      <c r="B36" s="95">
        <v>1.044</v>
      </c>
      <c r="C36" s="95">
        <v>1.06</v>
      </c>
      <c r="D36" s="95">
        <v>1.0129999999999999</v>
      </c>
      <c r="E36" s="95">
        <v>1.0169999999999999</v>
      </c>
      <c r="F36" s="94">
        <v>4.3999999999999997E-2</v>
      </c>
      <c r="G36" s="94">
        <v>5.8000000000000003E-2</v>
      </c>
      <c r="H36" s="96">
        <v>18</v>
      </c>
      <c r="I36" s="96">
        <v>34</v>
      </c>
      <c r="J36" s="96">
        <v>14</v>
      </c>
      <c r="K36" s="96">
        <v>35</v>
      </c>
      <c r="L36" s="149">
        <v>2.2999999999999998</v>
      </c>
    </row>
    <row r="37" spans="1:12" x14ac:dyDescent="0.25">
      <c r="A37" t="s">
        <v>1196</v>
      </c>
      <c r="B37" s="95">
        <v>1.028</v>
      </c>
      <c r="C37" s="95">
        <v>1.044</v>
      </c>
      <c r="D37" s="95">
        <v>1.008</v>
      </c>
      <c r="E37" s="95">
        <v>1.014</v>
      </c>
      <c r="F37" s="94">
        <v>0.03</v>
      </c>
      <c r="G37" s="94">
        <v>4.1000000000000002E-2</v>
      </c>
      <c r="H37" s="96">
        <v>20</v>
      </c>
      <c r="I37" s="96">
        <v>35</v>
      </c>
      <c r="J37" s="96">
        <v>3</v>
      </c>
      <c r="K37" s="96">
        <v>6</v>
      </c>
      <c r="L37" s="149">
        <v>2.2999999999999998</v>
      </c>
    </row>
    <row r="38" spans="1:12" x14ac:dyDescent="0.25">
      <c r="A38" t="s">
        <v>1197</v>
      </c>
      <c r="B38" s="95">
        <v>1.044</v>
      </c>
      <c r="C38" s="95">
        <v>1.06</v>
      </c>
      <c r="D38" s="95">
        <v>1.0129999999999999</v>
      </c>
      <c r="E38" s="95">
        <v>1.0169999999999999</v>
      </c>
      <c r="F38" s="94">
        <v>4.2000000000000003E-2</v>
      </c>
      <c r="G38" s="94">
        <v>5.8000000000000003E-2</v>
      </c>
      <c r="H38" s="96">
        <v>30</v>
      </c>
      <c r="I38" s="96">
        <v>45</v>
      </c>
      <c r="J38" s="149">
        <v>3.5</v>
      </c>
      <c r="K38" s="96">
        <v>6</v>
      </c>
      <c r="L38" s="149">
        <v>2.2999999999999998</v>
      </c>
    </row>
    <row r="39" spans="1:12" x14ac:dyDescent="0.25">
      <c r="A39" t="s">
        <v>1219</v>
      </c>
      <c r="B39" s="95">
        <v>1.03</v>
      </c>
      <c r="C39" s="95">
        <v>1.038</v>
      </c>
      <c r="D39" s="95">
        <v>1.008</v>
      </c>
      <c r="E39" s="95">
        <v>1.0129999999999999</v>
      </c>
      <c r="F39" s="94">
        <v>0.03</v>
      </c>
      <c r="G39" s="94">
        <v>3.7999999999999999E-2</v>
      </c>
      <c r="H39" s="96">
        <v>10</v>
      </c>
      <c r="I39" s="96">
        <v>25</v>
      </c>
      <c r="J39" s="96">
        <v>12</v>
      </c>
      <c r="K39" s="96">
        <v>25</v>
      </c>
      <c r="L39" s="149">
        <v>1.7</v>
      </c>
    </row>
    <row r="40" spans="1:12" x14ac:dyDescent="0.25">
      <c r="A40" t="s">
        <v>666</v>
      </c>
      <c r="B40" s="95">
        <v>1.0720000000000001</v>
      </c>
      <c r="C40" s="95">
        <v>1.1120000000000001</v>
      </c>
      <c r="D40" s="95">
        <v>1.016</v>
      </c>
      <c r="E40" s="95">
        <v>1.024</v>
      </c>
      <c r="F40" s="94">
        <v>7.0000000000000007E-2</v>
      </c>
      <c r="G40" s="94">
        <v>0.1</v>
      </c>
      <c r="H40" s="96">
        <v>16</v>
      </c>
      <c r="I40" s="96">
        <v>26</v>
      </c>
      <c r="J40" s="96">
        <v>6</v>
      </c>
      <c r="K40" s="96">
        <v>25</v>
      </c>
      <c r="L40" s="149">
        <v>2.2999999999999998</v>
      </c>
    </row>
    <row r="41" spans="1:12" x14ac:dyDescent="0.25">
      <c r="A41" t="s">
        <v>1239</v>
      </c>
      <c r="B41" s="95">
        <v>1.0649999999999999</v>
      </c>
      <c r="C41" s="95">
        <v>1.085</v>
      </c>
      <c r="D41" s="95">
        <v>1.008</v>
      </c>
      <c r="E41" s="95">
        <v>1.018</v>
      </c>
      <c r="F41" s="94">
        <v>7.4999999999999997E-2</v>
      </c>
      <c r="G41" s="94">
        <v>0.1</v>
      </c>
      <c r="H41" s="96">
        <v>60</v>
      </c>
      <c r="I41" s="96">
        <v>120</v>
      </c>
      <c r="J41" s="96">
        <v>6</v>
      </c>
      <c r="K41" s="96">
        <v>14</v>
      </c>
      <c r="L41" s="149">
        <v>2.2999999999999998</v>
      </c>
    </row>
    <row r="42" spans="1:12" x14ac:dyDescent="0.25">
      <c r="A42" t="s">
        <v>1206</v>
      </c>
      <c r="B42" s="95">
        <v>1.0640000000000001</v>
      </c>
      <c r="C42" s="95">
        <v>1.0720000000000001</v>
      </c>
      <c r="D42" s="95">
        <v>1.0129999999999999</v>
      </c>
      <c r="E42" s="95">
        <v>1.0189999999999999</v>
      </c>
      <c r="F42" s="94">
        <v>6.3E-2</v>
      </c>
      <c r="G42" s="94">
        <v>7.1999999999999995E-2</v>
      </c>
      <c r="H42" s="96">
        <v>20</v>
      </c>
      <c r="I42" s="96">
        <v>27</v>
      </c>
      <c r="J42" s="96">
        <v>14</v>
      </c>
      <c r="K42" s="96">
        <v>22</v>
      </c>
      <c r="L42" s="149">
        <v>2.2999999999999998</v>
      </c>
    </row>
    <row r="43" spans="1:12" x14ac:dyDescent="0.25">
      <c r="A43" t="s">
        <v>1213</v>
      </c>
      <c r="B43" s="95">
        <v>1.044</v>
      </c>
      <c r="C43" s="95">
        <v>1.056</v>
      </c>
      <c r="D43" s="95">
        <v>1.01</v>
      </c>
      <c r="E43" s="95">
        <v>1.014</v>
      </c>
      <c r="F43" s="94">
        <v>4.2999999999999997E-2</v>
      </c>
      <c r="G43" s="94">
        <v>5.6000000000000001E-2</v>
      </c>
      <c r="H43" s="96">
        <v>10</v>
      </c>
      <c r="I43" s="96">
        <v>18</v>
      </c>
      <c r="J43" s="96">
        <v>14</v>
      </c>
      <c r="K43" s="96">
        <v>23</v>
      </c>
      <c r="L43" s="149">
        <v>2.5</v>
      </c>
    </row>
    <row r="44" spans="1:12" x14ac:dyDescent="0.25">
      <c r="A44" t="s">
        <v>1211</v>
      </c>
      <c r="B44" s="95">
        <v>1.0780000000000001</v>
      </c>
      <c r="C44" s="95">
        <v>1.1200000000000001</v>
      </c>
      <c r="D44" s="95">
        <v>1.02</v>
      </c>
      <c r="E44" s="95">
        <v>1.0349999999999999</v>
      </c>
      <c r="F44" s="94">
        <v>0.09</v>
      </c>
      <c r="G44" s="94">
        <v>0.14000000000000001</v>
      </c>
      <c r="H44" s="96">
        <v>25</v>
      </c>
      <c r="I44" s="96">
        <v>35</v>
      </c>
      <c r="J44" s="96">
        <v>18</v>
      </c>
      <c r="K44" s="96">
        <v>30</v>
      </c>
      <c r="L44" s="149">
        <v>2.1</v>
      </c>
    </row>
    <row r="45" spans="1:12" x14ac:dyDescent="0.25">
      <c r="A45" t="s">
        <v>667</v>
      </c>
      <c r="B45" s="95">
        <v>1.08</v>
      </c>
      <c r="C45" s="95">
        <v>1.1200000000000001</v>
      </c>
      <c r="D45" s="95">
        <v>1.018</v>
      </c>
      <c r="E45" s="95">
        <v>1.03</v>
      </c>
      <c r="F45" s="94">
        <v>0.08</v>
      </c>
      <c r="G45" s="94">
        <v>0.12</v>
      </c>
      <c r="H45" s="96">
        <v>36</v>
      </c>
      <c r="I45" s="96">
        <v>70</v>
      </c>
      <c r="J45" s="96">
        <v>8</v>
      </c>
      <c r="K45" s="96">
        <v>22</v>
      </c>
      <c r="L45" s="149">
        <v>2</v>
      </c>
    </row>
    <row r="46" spans="1:12" x14ac:dyDescent="0.25">
      <c r="A46" t="s">
        <v>668</v>
      </c>
      <c r="B46" s="95">
        <v>1.05</v>
      </c>
      <c r="C46" s="95">
        <v>1.075</v>
      </c>
      <c r="D46" s="95">
        <v>1.01</v>
      </c>
      <c r="E46" s="95">
        <v>1.018</v>
      </c>
      <c r="F46" s="94">
        <v>0.05</v>
      </c>
      <c r="G46" s="94">
        <v>7.4999999999999997E-2</v>
      </c>
      <c r="H46" s="96">
        <v>40</v>
      </c>
      <c r="I46" s="96">
        <v>60</v>
      </c>
      <c r="J46" s="96">
        <v>6</v>
      </c>
      <c r="K46" s="96">
        <v>14</v>
      </c>
      <c r="L46" s="149">
        <v>2.2999999999999998</v>
      </c>
    </row>
    <row r="47" spans="1:12" x14ac:dyDescent="0.25">
      <c r="A47" t="s">
        <v>1221</v>
      </c>
      <c r="B47" s="95">
        <v>1.04</v>
      </c>
      <c r="C47" s="95">
        <v>1.052</v>
      </c>
      <c r="D47" s="95">
        <v>1.008</v>
      </c>
      <c r="E47" s="95">
        <v>1.014</v>
      </c>
      <c r="F47" s="94">
        <v>0.04</v>
      </c>
      <c r="G47" s="94">
        <v>5.3999999999999999E-2</v>
      </c>
      <c r="H47" s="96">
        <v>18</v>
      </c>
      <c r="I47" s="96">
        <v>35</v>
      </c>
      <c r="J47" s="96">
        <v>30</v>
      </c>
      <c r="K47" s="96">
        <v>30</v>
      </c>
      <c r="L47" s="149">
        <v>2.2999999999999998</v>
      </c>
    </row>
    <row r="48" spans="1:12" x14ac:dyDescent="0.25">
      <c r="A48" t="s">
        <v>1200</v>
      </c>
      <c r="B48" s="95">
        <v>1.054</v>
      </c>
      <c r="C48" s="95">
        <v>1.0569999999999999</v>
      </c>
      <c r="D48" s="95">
        <v>1.01</v>
      </c>
      <c r="E48" s="95">
        <v>1.012</v>
      </c>
      <c r="F48" s="94">
        <v>5.8000000000000003E-2</v>
      </c>
      <c r="G48" s="94">
        <v>6.3E-2</v>
      </c>
      <c r="H48" s="96">
        <v>18</v>
      </c>
      <c r="I48" s="96">
        <v>25</v>
      </c>
      <c r="J48" s="96">
        <v>4</v>
      </c>
      <c r="K48" s="96">
        <v>7</v>
      </c>
      <c r="L48" s="149">
        <v>2.2999999999999998</v>
      </c>
    </row>
    <row r="49" spans="1:12" x14ac:dyDescent="0.25">
      <c r="A49" t="s">
        <v>1243</v>
      </c>
      <c r="B49" s="95">
        <v>1.048</v>
      </c>
      <c r="C49" s="95">
        <v>1.0569999999999999</v>
      </c>
      <c r="D49" s="95">
        <v>1.002</v>
      </c>
      <c r="E49" s="95">
        <v>1.012</v>
      </c>
      <c r="F49" s="94">
        <v>4.5999999999999999E-2</v>
      </c>
      <c r="G49" s="94">
        <v>6.5000000000000002E-2</v>
      </c>
      <c r="H49" s="96">
        <v>10</v>
      </c>
      <c r="I49" s="96">
        <v>25</v>
      </c>
      <c r="J49" s="96">
        <v>10</v>
      </c>
      <c r="K49" s="96">
        <v>16</v>
      </c>
      <c r="L49" s="149">
        <v>2.2999999999999998</v>
      </c>
    </row>
    <row r="50" spans="1:12" x14ac:dyDescent="0.25">
      <c r="A50" t="s">
        <v>335</v>
      </c>
      <c r="B50" s="95">
        <v>1.056</v>
      </c>
      <c r="C50" s="95">
        <v>1.075</v>
      </c>
      <c r="D50" s="95">
        <v>1.01</v>
      </c>
      <c r="E50" s="95">
        <v>1.018</v>
      </c>
      <c r="F50" s="94">
        <v>6.3E-2</v>
      </c>
      <c r="G50" s="94">
        <v>0.08</v>
      </c>
      <c r="H50" s="96">
        <v>50</v>
      </c>
      <c r="I50" s="96">
        <v>70</v>
      </c>
      <c r="J50" s="96">
        <v>30</v>
      </c>
      <c r="K50" s="96">
        <v>40</v>
      </c>
      <c r="L50" s="149">
        <v>2.2999999999999998</v>
      </c>
    </row>
    <row r="51" spans="1:12" x14ac:dyDescent="0.25">
      <c r="A51" t="s">
        <v>1247</v>
      </c>
      <c r="B51" s="95">
        <v>1.04</v>
      </c>
      <c r="C51" s="95">
        <v>1.06</v>
      </c>
      <c r="D51" s="95">
        <v>1</v>
      </c>
      <c r="E51" s="95">
        <v>1.01</v>
      </c>
      <c r="F51" s="94">
        <v>0.05</v>
      </c>
      <c r="G51" s="94">
        <v>7.0000000000000007E-2</v>
      </c>
      <c r="H51" s="96">
        <v>0</v>
      </c>
      <c r="I51" s="96">
        <v>10</v>
      </c>
      <c r="J51" s="96">
        <v>3</v>
      </c>
      <c r="K51" s="96">
        <v>7</v>
      </c>
      <c r="L51" s="149">
        <v>3.5</v>
      </c>
    </row>
    <row r="52" spans="1:12" x14ac:dyDescent="0.25">
      <c r="A52" t="s">
        <v>1203</v>
      </c>
      <c r="B52" s="95">
        <v>1.048</v>
      </c>
      <c r="C52" s="95">
        <v>1.056</v>
      </c>
      <c r="D52" s="95">
        <v>1.01</v>
      </c>
      <c r="E52" s="95">
        <v>1.0149999999999999</v>
      </c>
      <c r="F52" s="94">
        <v>4.8000000000000001E-2</v>
      </c>
      <c r="G52" s="94">
        <v>0.06</v>
      </c>
      <c r="H52" s="96">
        <v>20</v>
      </c>
      <c r="I52" s="96">
        <v>30</v>
      </c>
      <c r="J52" s="96">
        <v>4</v>
      </c>
      <c r="K52" s="96">
        <v>7</v>
      </c>
      <c r="L52" s="149">
        <v>2.2999999999999998</v>
      </c>
    </row>
    <row r="53" spans="1:12" x14ac:dyDescent="0.25">
      <c r="A53" t="s">
        <v>1202</v>
      </c>
      <c r="B53" s="95">
        <v>1.026</v>
      </c>
      <c r="C53" s="95">
        <v>1.034</v>
      </c>
      <c r="D53" s="95">
        <v>1.006</v>
      </c>
      <c r="E53" s="95">
        <v>1.01</v>
      </c>
      <c r="F53" s="94">
        <v>2.4E-2</v>
      </c>
      <c r="G53" s="94">
        <v>3.5999999999999997E-2</v>
      </c>
      <c r="H53" s="96">
        <v>15</v>
      </c>
      <c r="I53" s="96">
        <v>28</v>
      </c>
      <c r="J53" s="96">
        <v>2</v>
      </c>
      <c r="K53" s="96">
        <v>5</v>
      </c>
      <c r="L53" s="149">
        <v>2.4</v>
      </c>
    </row>
    <row r="54" spans="1:12" x14ac:dyDescent="0.25">
      <c r="A54" t="s">
        <v>101</v>
      </c>
      <c r="B54" s="95">
        <v>1.044</v>
      </c>
      <c r="C54" s="95">
        <v>1.05</v>
      </c>
      <c r="D54" s="95">
        <v>1.008</v>
      </c>
      <c r="E54" s="95">
        <v>1.0129999999999999</v>
      </c>
      <c r="F54" s="94">
        <v>4.3999999999999997E-2</v>
      </c>
      <c r="G54" s="94">
        <v>5.1999999999999998E-2</v>
      </c>
      <c r="H54" s="96">
        <v>22</v>
      </c>
      <c r="I54" s="96">
        <v>40</v>
      </c>
      <c r="J54" s="96">
        <v>2</v>
      </c>
      <c r="K54" s="96">
        <v>5</v>
      </c>
      <c r="L54" s="149">
        <v>2.2999999999999998</v>
      </c>
    </row>
    <row r="55" spans="1:12" x14ac:dyDescent="0.25">
      <c r="A55" t="s">
        <v>1255</v>
      </c>
      <c r="B55" s="95">
        <v>1.036</v>
      </c>
      <c r="C55" s="95">
        <v>1.056</v>
      </c>
      <c r="D55" s="95">
        <v>1.006</v>
      </c>
      <c r="E55" s="95">
        <v>1.01</v>
      </c>
      <c r="F55" s="94">
        <v>4.2000000000000003E-2</v>
      </c>
      <c r="G55" s="94">
        <v>4.8000000000000001E-2</v>
      </c>
      <c r="H55" s="96">
        <v>5</v>
      </c>
      <c r="I55" s="96">
        <v>12</v>
      </c>
      <c r="J55" s="96">
        <v>3</v>
      </c>
      <c r="K55" s="96">
        <v>4</v>
      </c>
      <c r="L55" s="149">
        <v>3.5</v>
      </c>
    </row>
    <row r="56" spans="1:12" x14ac:dyDescent="0.25">
      <c r="A56" t="s">
        <v>1246</v>
      </c>
      <c r="B56" s="95">
        <v>1.04</v>
      </c>
      <c r="C56" s="95">
        <v>1.06</v>
      </c>
      <c r="D56" s="95">
        <v>1</v>
      </c>
      <c r="E56" s="95">
        <v>1.006</v>
      </c>
      <c r="F56" s="94">
        <v>0.05</v>
      </c>
      <c r="G56" s="94">
        <v>0.08</v>
      </c>
      <c r="H56" s="96">
        <v>0</v>
      </c>
      <c r="I56" s="96">
        <v>10</v>
      </c>
      <c r="J56" s="96">
        <v>3</v>
      </c>
      <c r="K56" s="96">
        <v>7</v>
      </c>
      <c r="L56" s="149">
        <v>3.5</v>
      </c>
    </row>
    <row r="57" spans="1:12" x14ac:dyDescent="0.25">
      <c r="A57" t="s">
        <v>1201</v>
      </c>
      <c r="B57" s="95">
        <v>1.0640000000000001</v>
      </c>
      <c r="C57" s="95">
        <v>1.0720000000000001</v>
      </c>
      <c r="D57" s="95">
        <v>1.0109999999999999</v>
      </c>
      <c r="E57" s="95">
        <v>1.018</v>
      </c>
      <c r="F57" s="94">
        <v>6.3E-2</v>
      </c>
      <c r="G57" s="94">
        <v>7.3999999999999996E-2</v>
      </c>
      <c r="H57" s="96">
        <v>23</v>
      </c>
      <c r="I57" s="96">
        <v>25</v>
      </c>
      <c r="J57" s="96">
        <v>6</v>
      </c>
      <c r="K57" s="96">
        <v>11</v>
      </c>
      <c r="L57" s="149">
        <v>2.4</v>
      </c>
    </row>
    <row r="58" spans="1:12" x14ac:dyDescent="0.25">
      <c r="A58" t="s">
        <v>1232</v>
      </c>
      <c r="B58" s="95">
        <v>1.075</v>
      </c>
      <c r="C58" s="95">
        <v>1.115</v>
      </c>
      <c r="D58" s="95">
        <v>1.018</v>
      </c>
      <c r="E58" s="95">
        <v>1.03</v>
      </c>
      <c r="F58" s="94">
        <v>0.08</v>
      </c>
      <c r="G58" s="94">
        <v>0.12</v>
      </c>
      <c r="H58" s="96">
        <v>50</v>
      </c>
      <c r="I58" s="96">
        <v>90</v>
      </c>
      <c r="J58" s="96">
        <v>30</v>
      </c>
      <c r="K58" s="96">
        <v>40</v>
      </c>
      <c r="L58" s="149">
        <v>2.2999999999999998</v>
      </c>
    </row>
    <row r="59" spans="1:12" x14ac:dyDescent="0.25">
      <c r="A59" t="s">
        <v>1194</v>
      </c>
      <c r="B59" s="95">
        <v>1.042</v>
      </c>
      <c r="C59" s="95">
        <v>1.0549999999999999</v>
      </c>
      <c r="D59" s="95">
        <v>1.008</v>
      </c>
      <c r="E59" s="95">
        <v>1.014</v>
      </c>
      <c r="F59" s="94">
        <v>4.5999999999999999E-2</v>
      </c>
      <c r="G59" s="94">
        <v>0.06</v>
      </c>
      <c r="H59" s="96">
        <v>8</v>
      </c>
      <c r="I59" s="96">
        <v>25</v>
      </c>
      <c r="J59" s="96">
        <v>7</v>
      </c>
      <c r="K59" s="96">
        <v>14</v>
      </c>
      <c r="L59" s="149">
        <v>2.5</v>
      </c>
    </row>
    <row r="60" spans="1:12" x14ac:dyDescent="0.25">
      <c r="A60" t="s">
        <v>1195</v>
      </c>
      <c r="B60" s="95">
        <v>1.044</v>
      </c>
      <c r="C60" s="95">
        <v>1.056</v>
      </c>
      <c r="D60" s="95">
        <v>1.008</v>
      </c>
      <c r="E60" s="95">
        <v>1.012</v>
      </c>
      <c r="F60" s="94">
        <v>4.2000000000000003E-2</v>
      </c>
      <c r="G60" s="94">
        <v>0.06</v>
      </c>
      <c r="H60" s="96">
        <v>8</v>
      </c>
      <c r="I60" s="96">
        <v>20</v>
      </c>
      <c r="J60" s="96">
        <v>14</v>
      </c>
      <c r="K60" s="96">
        <v>22</v>
      </c>
      <c r="L60" s="149">
        <v>2.5</v>
      </c>
    </row>
    <row r="61" spans="1:12" x14ac:dyDescent="0.25">
      <c r="A61" t="s">
        <v>1193</v>
      </c>
      <c r="B61" s="95">
        <v>1.042</v>
      </c>
      <c r="C61" s="95">
        <v>1.05</v>
      </c>
      <c r="D61" s="95">
        <v>1.008</v>
      </c>
      <c r="E61" s="95">
        <v>1.012</v>
      </c>
      <c r="F61" s="94">
        <v>4.5999999999999999E-2</v>
      </c>
      <c r="G61" s="94">
        <v>0.06</v>
      </c>
      <c r="H61" s="96">
        <v>18</v>
      </c>
      <c r="I61" s="96">
        <v>25</v>
      </c>
      <c r="J61" s="96">
        <v>2</v>
      </c>
      <c r="K61" s="96">
        <v>6</v>
      </c>
      <c r="L61" s="149">
        <v>2.5</v>
      </c>
    </row>
    <row r="62" spans="1:12" x14ac:dyDescent="0.25">
      <c r="A62" t="s">
        <v>1226</v>
      </c>
      <c r="B62" s="95">
        <v>1.052</v>
      </c>
      <c r="C62" s="95">
        <v>1.0620000000000001</v>
      </c>
      <c r="D62" s="95">
        <v>1.01</v>
      </c>
      <c r="E62" s="95">
        <v>1.014</v>
      </c>
      <c r="F62" s="94">
        <v>5.5E-2</v>
      </c>
      <c r="G62" s="94">
        <v>6.5000000000000002E-2</v>
      </c>
      <c r="H62" s="96">
        <v>35</v>
      </c>
      <c r="I62" s="96">
        <v>50</v>
      </c>
      <c r="J62" s="96">
        <v>25</v>
      </c>
      <c r="K62" s="96">
        <v>40</v>
      </c>
      <c r="L62" s="149">
        <v>2.2999999999999998</v>
      </c>
    </row>
    <row r="63" spans="1:12" x14ac:dyDescent="0.25">
      <c r="A63" t="s">
        <v>669</v>
      </c>
      <c r="B63" s="95">
        <v>1.036</v>
      </c>
      <c r="C63" s="95">
        <v>1.046</v>
      </c>
      <c r="D63" s="95">
        <v>1.01</v>
      </c>
      <c r="E63" s="95">
        <v>1.014</v>
      </c>
      <c r="F63" s="94">
        <v>3.7999999999999999E-2</v>
      </c>
      <c r="G63" s="94">
        <v>0.05</v>
      </c>
      <c r="H63" s="96">
        <v>18</v>
      </c>
      <c r="I63" s="96">
        <v>28</v>
      </c>
      <c r="J63" s="96">
        <v>9</v>
      </c>
      <c r="K63" s="96">
        <v>14</v>
      </c>
      <c r="L63" s="149">
        <v>2.2999999999999998</v>
      </c>
    </row>
    <row r="64" spans="1:12" x14ac:dyDescent="0.25">
      <c r="A64" t="s">
        <v>1225</v>
      </c>
      <c r="B64" s="95">
        <v>1.036</v>
      </c>
      <c r="C64" s="95">
        <v>1.044</v>
      </c>
      <c r="D64" s="95">
        <v>1.0069999999999999</v>
      </c>
      <c r="E64" s="95">
        <v>1.0109999999999999</v>
      </c>
      <c r="F64" s="94">
        <v>0.04</v>
      </c>
      <c r="G64" s="94">
        <v>4.4999999999999998E-2</v>
      </c>
      <c r="H64" s="96">
        <v>25</v>
      </c>
      <c r="I64" s="96">
        <v>45</v>
      </c>
      <c r="J64" s="96">
        <v>25</v>
      </c>
      <c r="K64" s="96">
        <v>40</v>
      </c>
      <c r="L64" s="149">
        <v>2</v>
      </c>
    </row>
    <row r="65" spans="1:12" x14ac:dyDescent="0.25">
      <c r="A65" t="s">
        <v>1209</v>
      </c>
      <c r="B65" s="95">
        <v>1.048</v>
      </c>
      <c r="C65" s="95">
        <v>1.054</v>
      </c>
      <c r="D65" s="95">
        <v>1.012</v>
      </c>
      <c r="E65" s="95">
        <v>1.016</v>
      </c>
      <c r="F65" s="94">
        <v>4.8000000000000001E-2</v>
      </c>
      <c r="G65" s="94">
        <v>5.3999999999999999E-2</v>
      </c>
      <c r="H65" s="96">
        <v>25</v>
      </c>
      <c r="I65" s="96">
        <v>40</v>
      </c>
      <c r="J65" s="96">
        <v>7</v>
      </c>
      <c r="K65" s="96">
        <v>17</v>
      </c>
      <c r="L65" s="149">
        <v>2.2999999999999998</v>
      </c>
    </row>
    <row r="66" spans="1:12" x14ac:dyDescent="0.25">
      <c r="A66" t="s">
        <v>1208</v>
      </c>
      <c r="B66" s="95">
        <v>1.0449999999999999</v>
      </c>
      <c r="C66" s="95">
        <v>1.0509999999999999</v>
      </c>
      <c r="D66" s="95">
        <v>1.008</v>
      </c>
      <c r="E66" s="95">
        <v>1.012</v>
      </c>
      <c r="F66" s="94">
        <v>4.7E-2</v>
      </c>
      <c r="G66" s="94">
        <v>5.3999999999999999E-2</v>
      </c>
      <c r="H66" s="96">
        <v>20</v>
      </c>
      <c r="I66" s="96">
        <v>35</v>
      </c>
      <c r="J66" s="96">
        <v>3</v>
      </c>
      <c r="K66" s="96">
        <v>7</v>
      </c>
      <c r="L66" s="149">
        <v>2.2999999999999998</v>
      </c>
    </row>
    <row r="67" spans="1:12" x14ac:dyDescent="0.25">
      <c r="A67" t="s">
        <v>1256</v>
      </c>
      <c r="B67" s="95">
        <v>1.044</v>
      </c>
      <c r="C67" s="95">
        <v>1.0549999999999999</v>
      </c>
      <c r="D67" s="95">
        <v>1.01</v>
      </c>
      <c r="E67" s="95">
        <v>1.018</v>
      </c>
      <c r="F67" s="94">
        <v>0.04</v>
      </c>
      <c r="G67" s="94">
        <v>5.5E-2</v>
      </c>
      <c r="H67" s="96">
        <v>15</v>
      </c>
      <c r="I67" s="96">
        <v>30</v>
      </c>
      <c r="J67" s="96">
        <v>11</v>
      </c>
      <c r="K67" s="96">
        <v>20</v>
      </c>
      <c r="L67" s="149">
        <v>2.7</v>
      </c>
    </row>
    <row r="68" spans="1:12" x14ac:dyDescent="0.25">
      <c r="A68" t="s">
        <v>670</v>
      </c>
      <c r="B68" s="95">
        <v>1.044</v>
      </c>
      <c r="C68" s="95">
        <v>1.05</v>
      </c>
      <c r="D68" s="95">
        <v>1.0069999999999999</v>
      </c>
      <c r="E68" s="95">
        <v>1.0109999999999999</v>
      </c>
      <c r="F68" s="94">
        <v>4.3999999999999997E-2</v>
      </c>
      <c r="G68" s="94">
        <v>5.1999999999999998E-2</v>
      </c>
      <c r="H68" s="96">
        <v>18</v>
      </c>
      <c r="I68" s="96">
        <v>30</v>
      </c>
      <c r="J68" s="149">
        <v>3.5</v>
      </c>
      <c r="K68" s="96">
        <v>5</v>
      </c>
      <c r="L68" s="149">
        <v>2.4</v>
      </c>
    </row>
    <row r="69" spans="1:12" x14ac:dyDescent="0.25">
      <c r="A69" t="s">
        <v>1245</v>
      </c>
      <c r="B69" s="95">
        <v>1.04</v>
      </c>
      <c r="C69" s="95">
        <v>1.054</v>
      </c>
      <c r="D69" s="95">
        <v>1.0009999999999999</v>
      </c>
      <c r="E69" s="95">
        <v>1.01</v>
      </c>
      <c r="F69" s="94">
        <v>0.05</v>
      </c>
      <c r="G69" s="94">
        <v>6.5000000000000002E-2</v>
      </c>
      <c r="H69" s="96">
        <v>0</v>
      </c>
      <c r="I69" s="96">
        <v>18</v>
      </c>
      <c r="J69" s="96">
        <v>3</v>
      </c>
      <c r="K69" s="96">
        <v>7</v>
      </c>
      <c r="L69" s="149">
        <v>1.5</v>
      </c>
    </row>
    <row r="70" spans="1:12" x14ac:dyDescent="0.25">
      <c r="A70" t="s">
        <v>1257</v>
      </c>
      <c r="B70" s="95">
        <v>1.032</v>
      </c>
      <c r="C70" s="95">
        <v>1.04</v>
      </c>
      <c r="D70" s="95">
        <v>1.004</v>
      </c>
      <c r="E70" s="95">
        <v>1.008</v>
      </c>
      <c r="F70" s="94">
        <v>3.5000000000000003E-2</v>
      </c>
      <c r="G70" s="94">
        <v>4.7E-2</v>
      </c>
      <c r="H70" s="96">
        <v>5</v>
      </c>
      <c r="I70" s="96">
        <v>12</v>
      </c>
      <c r="J70" s="96">
        <v>3</v>
      </c>
      <c r="K70" s="96">
        <v>6</v>
      </c>
      <c r="L70" s="149">
        <v>3.5</v>
      </c>
    </row>
    <row r="71" spans="1:12" x14ac:dyDescent="0.25">
      <c r="A71" t="s">
        <v>1258</v>
      </c>
      <c r="B71" s="95">
        <v>1.0329999999999999</v>
      </c>
      <c r="C71" s="95">
        <v>1.038</v>
      </c>
      <c r="D71" s="95">
        <v>1.012</v>
      </c>
      <c r="E71" s="95">
        <v>1.0149999999999999</v>
      </c>
      <c r="F71" s="94">
        <v>2.8000000000000001E-2</v>
      </c>
      <c r="G71" s="94">
        <v>3.5999999999999997E-2</v>
      </c>
      <c r="H71" s="96">
        <v>15</v>
      </c>
      <c r="I71" s="96">
        <v>20</v>
      </c>
      <c r="J71" s="96">
        <v>22</v>
      </c>
      <c r="K71" s="96">
        <v>35</v>
      </c>
      <c r="L71" s="149">
        <v>2.2000000000000002</v>
      </c>
    </row>
    <row r="72" spans="1:12" x14ac:dyDescent="0.25">
      <c r="A72" t="s">
        <v>1204</v>
      </c>
      <c r="B72" s="95">
        <v>1.054</v>
      </c>
      <c r="C72" s="95">
        <v>1.06</v>
      </c>
      <c r="D72" s="95">
        <v>1.01</v>
      </c>
      <c r="E72" s="95">
        <v>1.014</v>
      </c>
      <c r="F72" s="94">
        <v>5.8000000000000003E-2</v>
      </c>
      <c r="G72" s="94">
        <v>6.3E-2</v>
      </c>
      <c r="H72" s="96">
        <v>18</v>
      </c>
      <c r="I72" s="96">
        <v>24</v>
      </c>
      <c r="J72" s="96">
        <v>8</v>
      </c>
      <c r="K72" s="96">
        <v>17</v>
      </c>
      <c r="L72" s="149">
        <v>2.2999999999999998</v>
      </c>
    </row>
    <row r="73" spans="1:12" x14ac:dyDescent="0.25">
      <c r="A73" t="s">
        <v>671</v>
      </c>
      <c r="B73" s="95">
        <v>1.048</v>
      </c>
      <c r="C73" s="95">
        <v>1.056</v>
      </c>
      <c r="D73" s="95">
        <v>1.01</v>
      </c>
      <c r="E73" s="95">
        <v>1.016</v>
      </c>
      <c r="F73" s="94">
        <v>4.4999999999999998E-2</v>
      </c>
      <c r="G73" s="94">
        <v>5.6000000000000001E-2</v>
      </c>
      <c r="H73" s="96">
        <v>18</v>
      </c>
      <c r="I73" s="96">
        <v>28</v>
      </c>
      <c r="J73" s="96">
        <v>14</v>
      </c>
      <c r="K73" s="96">
        <v>28</v>
      </c>
      <c r="L73" s="149">
        <v>2.2999999999999998</v>
      </c>
    </row>
    <row r="74" spans="1:12" x14ac:dyDescent="0.25">
      <c r="A74" t="s">
        <v>315</v>
      </c>
      <c r="B74" s="95">
        <v>1.044</v>
      </c>
      <c r="C74" s="95">
        <v>1.048</v>
      </c>
      <c r="D74" s="95">
        <v>1.006</v>
      </c>
      <c r="E74" s="95">
        <v>1.012</v>
      </c>
      <c r="F74" s="94">
        <v>4.7E-2</v>
      </c>
      <c r="G74" s="94">
        <v>5.3999999999999999E-2</v>
      </c>
      <c r="H74" s="96">
        <v>16</v>
      </c>
      <c r="I74" s="96">
        <v>22</v>
      </c>
      <c r="J74" s="96">
        <v>3</v>
      </c>
      <c r="K74" s="96">
        <v>5</v>
      </c>
      <c r="L74" s="149">
        <v>2.2999999999999998</v>
      </c>
    </row>
    <row r="75" spans="1:12" x14ac:dyDescent="0.25">
      <c r="A75" t="s">
        <v>672</v>
      </c>
      <c r="B75" s="95">
        <v>1.0449999999999999</v>
      </c>
      <c r="C75" s="95">
        <v>1.0649999999999999</v>
      </c>
      <c r="D75" s="95">
        <v>1.01</v>
      </c>
      <c r="E75" s="95">
        <v>1.018</v>
      </c>
      <c r="F75" s="94">
        <v>4.2000000000000003E-2</v>
      </c>
      <c r="G75" s="94">
        <v>5.8999999999999997E-2</v>
      </c>
      <c r="H75" s="96">
        <v>25</v>
      </c>
      <c r="I75" s="96">
        <v>40</v>
      </c>
      <c r="J75" s="96">
        <v>22</v>
      </c>
      <c r="K75" s="96">
        <v>40</v>
      </c>
      <c r="L75" s="149">
        <v>2.2999999999999998</v>
      </c>
    </row>
    <row r="76" spans="1:12" x14ac:dyDescent="0.25">
      <c r="A76" t="s">
        <v>502</v>
      </c>
      <c r="B76" s="95">
        <v>1.0549999999999999</v>
      </c>
      <c r="C76" s="95">
        <v>1.0880000000000001</v>
      </c>
      <c r="D76" s="95">
        <v>1.0149999999999999</v>
      </c>
      <c r="E76" s="95">
        <v>1.022</v>
      </c>
      <c r="F76" s="94">
        <v>5.5E-2</v>
      </c>
      <c r="G76" s="94">
        <v>0.09</v>
      </c>
      <c r="H76" s="96">
        <v>30</v>
      </c>
      <c r="I76" s="96">
        <v>60</v>
      </c>
      <c r="J76" s="96">
        <v>10</v>
      </c>
      <c r="K76" s="96">
        <v>22</v>
      </c>
      <c r="L76" s="149">
        <v>2</v>
      </c>
    </row>
    <row r="77" spans="1:12" x14ac:dyDescent="0.25">
      <c r="A77" t="s">
        <v>1214</v>
      </c>
      <c r="B77" s="95">
        <v>1.03</v>
      </c>
      <c r="C77" s="95">
        <v>1.0389999999999999</v>
      </c>
      <c r="D77" s="95">
        <v>1.0069999999999999</v>
      </c>
      <c r="E77" s="95">
        <v>1.0109999999999999</v>
      </c>
      <c r="F77" s="94">
        <v>3.2000000000000001E-2</v>
      </c>
      <c r="G77" s="94">
        <v>3.7999999999999999E-2</v>
      </c>
      <c r="H77" s="96">
        <v>25</v>
      </c>
      <c r="I77" s="96">
        <v>35</v>
      </c>
      <c r="J77" s="96">
        <v>8</v>
      </c>
      <c r="K77" s="96">
        <v>14</v>
      </c>
      <c r="L77" s="149">
        <v>2</v>
      </c>
    </row>
    <row r="78" spans="1:12" x14ac:dyDescent="0.25">
      <c r="A78" t="s">
        <v>1244</v>
      </c>
      <c r="B78" s="95">
        <v>1.04</v>
      </c>
      <c r="C78" s="95">
        <v>1.0740000000000001</v>
      </c>
      <c r="D78" s="95">
        <v>1.004</v>
      </c>
      <c r="E78" s="95">
        <v>1.012</v>
      </c>
      <c r="F78" s="94">
        <v>0.04</v>
      </c>
      <c r="G78" s="94">
        <v>0.08</v>
      </c>
      <c r="H78" s="96">
        <v>20</v>
      </c>
      <c r="I78" s="96">
        <v>25</v>
      </c>
      <c r="J78" s="96">
        <v>15</v>
      </c>
      <c r="K78" s="96">
        <v>22</v>
      </c>
      <c r="L78" s="149">
        <v>2.2999999999999998</v>
      </c>
    </row>
    <row r="79" spans="1:12" x14ac:dyDescent="0.25">
      <c r="A79" t="s">
        <v>1259</v>
      </c>
      <c r="B79" s="95">
        <v>1.028</v>
      </c>
      <c r="C79" s="95">
        <v>1.032</v>
      </c>
      <c r="D79" s="95">
        <v>0.16666666666666666</v>
      </c>
      <c r="E79" s="95">
        <v>1.012</v>
      </c>
      <c r="F79" s="94">
        <v>2.5000000000000001E-2</v>
      </c>
      <c r="G79" s="94">
        <v>3.3000000000000002E-2</v>
      </c>
      <c r="H79" s="96">
        <v>20</v>
      </c>
      <c r="I79" s="96">
        <v>35</v>
      </c>
      <c r="J79" s="96">
        <v>3</v>
      </c>
      <c r="K79" s="96">
        <v>6</v>
      </c>
      <c r="L79" s="149">
        <v>3</v>
      </c>
    </row>
    <row r="80" spans="1:12" x14ac:dyDescent="0.25">
      <c r="A80" t="s">
        <v>1260</v>
      </c>
      <c r="B80" s="95">
        <v>1.044</v>
      </c>
      <c r="C80" s="95">
        <v>1.06</v>
      </c>
      <c r="D80" s="95">
        <v>1.01</v>
      </c>
      <c r="E80" s="95">
        <v>1.0149999999999999</v>
      </c>
      <c r="F80" s="94">
        <v>4.4999999999999998E-2</v>
      </c>
      <c r="G80" s="94">
        <v>0.06</v>
      </c>
      <c r="H80" s="96">
        <v>25</v>
      </c>
      <c r="I80" s="96">
        <v>40</v>
      </c>
      <c r="J80" s="96">
        <v>3</v>
      </c>
      <c r="K80" s="96">
        <v>6</v>
      </c>
      <c r="L80" s="149">
        <v>2.5</v>
      </c>
    </row>
    <row r="81" spans="1:12" x14ac:dyDescent="0.25">
      <c r="A81" t="s">
        <v>1261</v>
      </c>
      <c r="B81" s="95">
        <v>1.046</v>
      </c>
      <c r="C81" s="95">
        <v>1.06</v>
      </c>
      <c r="D81" s="95">
        <v>1.01</v>
      </c>
      <c r="E81" s="95">
        <v>1.016</v>
      </c>
      <c r="F81" s="94">
        <v>4.4999999999999998E-2</v>
      </c>
      <c r="G81" s="94">
        <v>0.06</v>
      </c>
      <c r="H81" s="96">
        <v>20</v>
      </c>
      <c r="I81" s="96">
        <v>30</v>
      </c>
      <c r="J81" s="96">
        <v>18</v>
      </c>
      <c r="K81" s="96">
        <v>30</v>
      </c>
      <c r="L81" s="149">
        <v>2.2999999999999998</v>
      </c>
    </row>
    <row r="82" spans="1:12" x14ac:dyDescent="0.25">
      <c r="A82" t="s">
        <v>1205</v>
      </c>
      <c r="B82" s="95">
        <v>1.05</v>
      </c>
      <c r="C82" s="95">
        <v>1.0569999999999999</v>
      </c>
      <c r="D82" s="95">
        <v>1.012</v>
      </c>
      <c r="E82" s="95">
        <v>1.016</v>
      </c>
      <c r="F82" s="94">
        <v>4.8000000000000001E-2</v>
      </c>
      <c r="G82" s="94">
        <v>0.06</v>
      </c>
      <c r="H82" s="96">
        <v>20</v>
      </c>
      <c r="I82" s="96">
        <v>30</v>
      </c>
      <c r="J82" s="96">
        <v>12</v>
      </c>
      <c r="K82" s="96">
        <v>22</v>
      </c>
      <c r="L82" s="149">
        <v>2.4</v>
      </c>
    </row>
    <row r="83" spans="1:12" x14ac:dyDescent="0.25">
      <c r="A83" t="s">
        <v>1236</v>
      </c>
      <c r="B83" s="95">
        <v>1.056</v>
      </c>
      <c r="C83" s="95">
        <v>1.07</v>
      </c>
      <c r="D83" s="95">
        <v>1.008</v>
      </c>
      <c r="E83" s="95">
        <v>1.016</v>
      </c>
      <c r="F83" s="94">
        <v>5.5E-2</v>
      </c>
      <c r="G83" s="94">
        <v>7.4999999999999997E-2</v>
      </c>
      <c r="H83" s="96">
        <v>40</v>
      </c>
      <c r="I83" s="96">
        <v>70</v>
      </c>
      <c r="J83" s="96">
        <v>11</v>
      </c>
      <c r="K83" s="96">
        <v>19</v>
      </c>
      <c r="L83" s="149">
        <v>2.4</v>
      </c>
    </row>
    <row r="84" spans="1:12" x14ac:dyDescent="0.25">
      <c r="A84" t="s">
        <v>1262</v>
      </c>
      <c r="B84" s="95">
        <v>1.046</v>
      </c>
      <c r="C84" s="95">
        <v>1.056</v>
      </c>
      <c r="D84" s="95">
        <v>1.01</v>
      </c>
      <c r="E84" s="95">
        <v>1.014</v>
      </c>
      <c r="F84" s="94">
        <v>4.4999999999999998E-2</v>
      </c>
      <c r="G84" s="94">
        <v>0.06</v>
      </c>
      <c r="H84" s="96">
        <v>10</v>
      </c>
      <c r="I84" s="96">
        <v>20</v>
      </c>
      <c r="J84" s="96">
        <v>14</v>
      </c>
      <c r="K84" s="96">
        <v>19</v>
      </c>
      <c r="L84" s="149">
        <v>2.5</v>
      </c>
    </row>
    <row r="85" spans="1:12" x14ac:dyDescent="0.25">
      <c r="A85" t="s">
        <v>1237</v>
      </c>
      <c r="B85" s="95">
        <v>1.056</v>
      </c>
      <c r="C85" s="95">
        <v>1.075</v>
      </c>
      <c r="D85" s="95">
        <v>1.008</v>
      </c>
      <c r="E85" s="95">
        <v>1.014</v>
      </c>
      <c r="F85" s="94">
        <v>5.5E-2</v>
      </c>
      <c r="G85" s="94">
        <v>0.08</v>
      </c>
      <c r="H85" s="96">
        <v>50</v>
      </c>
      <c r="I85" s="96">
        <v>75</v>
      </c>
      <c r="J85" s="96">
        <v>6</v>
      </c>
      <c r="K85" s="96">
        <v>14</v>
      </c>
      <c r="L85" s="149">
        <v>2.4</v>
      </c>
    </row>
    <row r="86" spans="1:12" x14ac:dyDescent="0.25">
      <c r="A86" t="s">
        <v>1263</v>
      </c>
      <c r="B86" s="95">
        <v>1.0760000000000001</v>
      </c>
      <c r="C86" s="95">
        <v>1.1200000000000001</v>
      </c>
      <c r="D86" s="95">
        <v>1.016</v>
      </c>
      <c r="E86" s="95">
        <v>1.02</v>
      </c>
      <c r="F86" s="94">
        <v>7.0000000000000007E-2</v>
      </c>
      <c r="G86" s="94">
        <v>0.11</v>
      </c>
      <c r="H86" s="96">
        <v>7</v>
      </c>
      <c r="I86" s="96">
        <v>15</v>
      </c>
      <c r="J86" s="96">
        <v>4</v>
      </c>
      <c r="K86" s="96">
        <v>22</v>
      </c>
      <c r="L86" s="149">
        <v>1.8</v>
      </c>
    </row>
    <row r="87" spans="1:12" x14ac:dyDescent="0.25">
      <c r="A87" t="s">
        <v>1251</v>
      </c>
      <c r="B87" s="95">
        <v>1.048</v>
      </c>
      <c r="C87" s="95">
        <v>1.0649999999999999</v>
      </c>
      <c r="D87" s="95">
        <v>1.002</v>
      </c>
      <c r="E87" s="95">
        <v>1.008</v>
      </c>
      <c r="F87" s="94">
        <v>0.05</v>
      </c>
      <c r="G87" s="94">
        <v>7.0000000000000007E-2</v>
      </c>
      <c r="H87" s="96">
        <v>20</v>
      </c>
      <c r="I87" s="96">
        <v>35</v>
      </c>
      <c r="J87" s="96">
        <v>15</v>
      </c>
      <c r="K87" s="96">
        <v>22</v>
      </c>
      <c r="L87" s="149">
        <v>3.5</v>
      </c>
    </row>
    <row r="88" spans="1:12" x14ac:dyDescent="0.25">
      <c r="A88" t="s">
        <v>1253</v>
      </c>
      <c r="B88" s="95">
        <v>1.0649999999999999</v>
      </c>
      <c r="C88" s="95">
        <v>1.095</v>
      </c>
      <c r="D88" s="95">
        <v>1.002</v>
      </c>
      <c r="E88" s="95">
        <v>1.0149999999999999</v>
      </c>
      <c r="F88" s="94">
        <v>7.0000000000000007E-2</v>
      </c>
      <c r="G88" s="94">
        <v>9.5000000000000001E-2</v>
      </c>
      <c r="H88" s="96">
        <v>20</v>
      </c>
      <c r="I88" s="96">
        <v>35</v>
      </c>
      <c r="J88" s="96">
        <v>15</v>
      </c>
      <c r="K88" s="96">
        <v>22</v>
      </c>
      <c r="L88" s="149">
        <v>3.5</v>
      </c>
    </row>
    <row r="89" spans="1:12" x14ac:dyDescent="0.25">
      <c r="A89" t="s">
        <v>1249</v>
      </c>
      <c r="B89" s="95">
        <v>1.0249999999999999</v>
      </c>
      <c r="C89" s="95">
        <v>1.048</v>
      </c>
      <c r="D89" s="95">
        <v>0.998</v>
      </c>
      <c r="E89" s="95">
        <v>1.008</v>
      </c>
      <c r="F89" s="94">
        <v>3.5000000000000003E-2</v>
      </c>
      <c r="G89" s="94">
        <v>0.05</v>
      </c>
      <c r="H89" s="96">
        <v>20</v>
      </c>
      <c r="I89" s="96">
        <v>35</v>
      </c>
      <c r="J89" s="96">
        <v>15</v>
      </c>
      <c r="K89" s="96">
        <v>22</v>
      </c>
      <c r="L89" s="149">
        <v>3.5</v>
      </c>
    </row>
    <row r="90" spans="1:12" x14ac:dyDescent="0.25">
      <c r="A90" t="s">
        <v>1250</v>
      </c>
      <c r="B90" s="95">
        <v>1.048</v>
      </c>
      <c r="C90" s="95">
        <v>1.0649999999999999</v>
      </c>
      <c r="D90" s="95">
        <v>1.002</v>
      </c>
      <c r="E90" s="95">
        <v>1.008</v>
      </c>
      <c r="F90" s="94">
        <v>0.05</v>
      </c>
      <c r="G90" s="94">
        <v>7.0000000000000007E-2</v>
      </c>
      <c r="H90" s="96">
        <v>20</v>
      </c>
      <c r="I90" s="96">
        <v>35</v>
      </c>
      <c r="J90" s="96">
        <v>5</v>
      </c>
      <c r="K90" s="96">
        <v>14</v>
      </c>
      <c r="L90" s="149">
        <v>3.5</v>
      </c>
    </row>
    <row r="91" spans="1:12" x14ac:dyDescent="0.25">
      <c r="A91" t="s">
        <v>1252</v>
      </c>
      <c r="B91" s="95">
        <v>1.0649999999999999</v>
      </c>
      <c r="C91" s="95">
        <v>1.095</v>
      </c>
      <c r="D91" s="95">
        <v>1.002</v>
      </c>
      <c r="E91" s="95">
        <v>1.0149999999999999</v>
      </c>
      <c r="F91" s="94">
        <v>7.0000000000000007E-2</v>
      </c>
      <c r="G91" s="94">
        <v>9.5000000000000001E-2</v>
      </c>
      <c r="H91" s="96">
        <v>20</v>
      </c>
      <c r="I91" s="96">
        <v>35</v>
      </c>
      <c r="J91" s="96">
        <v>5</v>
      </c>
      <c r="K91" s="96">
        <v>14</v>
      </c>
      <c r="L91" s="149">
        <v>3.5</v>
      </c>
    </row>
    <row r="92" spans="1:12" x14ac:dyDescent="0.25">
      <c r="A92" t="s">
        <v>1248</v>
      </c>
      <c r="B92" s="95">
        <v>1.0249999999999999</v>
      </c>
      <c r="C92" s="95">
        <v>1.048</v>
      </c>
      <c r="D92" s="95">
        <v>0.998</v>
      </c>
      <c r="E92" s="95">
        <v>1.008</v>
      </c>
      <c r="F92" s="94">
        <v>3.5000000000000003E-2</v>
      </c>
      <c r="G92" s="94">
        <v>0.05</v>
      </c>
      <c r="H92" s="96">
        <v>20</v>
      </c>
      <c r="I92" s="96">
        <v>35</v>
      </c>
      <c r="J92" s="96">
        <v>5</v>
      </c>
      <c r="K92" s="96">
        <v>14</v>
      </c>
      <c r="L92" s="149">
        <v>3.5</v>
      </c>
    </row>
    <row r="93" spans="1:12" x14ac:dyDescent="0.25">
      <c r="A93" t="s">
        <v>1210</v>
      </c>
      <c r="B93" s="95">
        <v>1.046</v>
      </c>
      <c r="C93" s="95">
        <v>1.052</v>
      </c>
      <c r="D93" s="95">
        <v>1.01</v>
      </c>
      <c r="E93" s="95">
        <v>1.016</v>
      </c>
      <c r="F93" s="94">
        <v>4.3999999999999997E-2</v>
      </c>
      <c r="G93" s="94">
        <v>5.3999999999999999E-2</v>
      </c>
      <c r="H93" s="96">
        <v>20</v>
      </c>
      <c r="I93" s="96">
        <v>30</v>
      </c>
      <c r="J93" s="96">
        <v>17</v>
      </c>
      <c r="K93" s="96">
        <v>30</v>
      </c>
      <c r="L93" s="149">
        <v>2.2999999999999998</v>
      </c>
    </row>
    <row r="94" spans="1:12" x14ac:dyDescent="0.25">
      <c r="A94" t="s">
        <v>1224</v>
      </c>
      <c r="B94" s="95">
        <v>1.04</v>
      </c>
      <c r="C94" s="95">
        <v>1.06</v>
      </c>
      <c r="D94" s="95">
        <v>1.01</v>
      </c>
      <c r="E94" s="95">
        <v>1.016</v>
      </c>
      <c r="F94" s="94">
        <v>3.9E-2</v>
      </c>
      <c r="G94" s="94">
        <v>0.06</v>
      </c>
      <c r="H94" s="96">
        <v>15</v>
      </c>
      <c r="I94" s="96">
        <v>30</v>
      </c>
      <c r="J94" s="96">
        <v>13</v>
      </c>
      <c r="K94" s="96">
        <v>22</v>
      </c>
      <c r="L94" s="149">
        <v>2</v>
      </c>
    </row>
    <row r="95" spans="1:12" x14ac:dyDescent="0.25">
      <c r="A95" t="s">
        <v>1223</v>
      </c>
      <c r="B95" s="95">
        <v>1.0349999999999999</v>
      </c>
      <c r="C95" s="95">
        <v>1.04</v>
      </c>
      <c r="D95" s="95">
        <v>1.01</v>
      </c>
      <c r="E95" s="95">
        <v>1.0149999999999999</v>
      </c>
      <c r="F95" s="94">
        <v>3.2000000000000001E-2</v>
      </c>
      <c r="G95" s="94">
        <v>3.9E-2</v>
      </c>
      <c r="H95" s="96">
        <v>10</v>
      </c>
      <c r="I95" s="96">
        <v>20</v>
      </c>
      <c r="J95" s="96">
        <v>13</v>
      </c>
      <c r="K95" s="96">
        <v>22</v>
      </c>
      <c r="L95" s="149">
        <v>2</v>
      </c>
    </row>
    <row r="96" spans="1:12" x14ac:dyDescent="0.25">
      <c r="A96" t="s">
        <v>1222</v>
      </c>
      <c r="B96" s="95">
        <v>1.03</v>
      </c>
      <c r="C96" s="95">
        <v>1.0349999999999999</v>
      </c>
      <c r="D96" s="95">
        <v>1.01</v>
      </c>
      <c r="E96" s="95">
        <v>1.0129999999999999</v>
      </c>
      <c r="F96" s="94">
        <v>2.5000000000000001E-2</v>
      </c>
      <c r="G96" s="94">
        <v>3.2000000000000001E-2</v>
      </c>
      <c r="H96" s="96">
        <v>10</v>
      </c>
      <c r="I96" s="96">
        <v>20</v>
      </c>
      <c r="J96" s="96">
        <v>17</v>
      </c>
      <c r="K96" s="96">
        <v>22</v>
      </c>
      <c r="L96" s="149">
        <v>2</v>
      </c>
    </row>
    <row r="97" spans="1:12" x14ac:dyDescent="0.25">
      <c r="A97" t="s">
        <v>1216</v>
      </c>
      <c r="B97" s="95">
        <v>1.048</v>
      </c>
      <c r="C97" s="95">
        <v>1.06</v>
      </c>
      <c r="D97" s="95">
        <v>1.01</v>
      </c>
      <c r="E97" s="95">
        <v>1.016</v>
      </c>
      <c r="F97" s="94">
        <v>4.5999999999999999E-2</v>
      </c>
      <c r="G97" s="94">
        <v>6.2E-2</v>
      </c>
      <c r="H97" s="96">
        <v>30</v>
      </c>
      <c r="I97" s="96">
        <v>50</v>
      </c>
      <c r="J97" s="96">
        <v>8</v>
      </c>
      <c r="K97" s="96">
        <v>18</v>
      </c>
      <c r="L97" s="149">
        <v>2</v>
      </c>
    </row>
    <row r="98" spans="1:12" x14ac:dyDescent="0.25">
      <c r="A98" t="s">
        <v>334</v>
      </c>
      <c r="B98" s="95">
        <v>1.044</v>
      </c>
      <c r="C98" s="95">
        <v>1.06</v>
      </c>
      <c r="D98" s="95">
        <v>1.012</v>
      </c>
      <c r="E98" s="95">
        <v>1.024</v>
      </c>
      <c r="F98" s="94">
        <v>0.04</v>
      </c>
      <c r="G98" s="94">
        <v>0.06</v>
      </c>
      <c r="H98" s="96">
        <v>20</v>
      </c>
      <c r="I98" s="96">
        <v>40</v>
      </c>
      <c r="J98" s="96">
        <v>30</v>
      </c>
      <c r="K98" s="96">
        <v>40</v>
      </c>
      <c r="L98" s="149">
        <v>2</v>
      </c>
    </row>
    <row r="99" spans="1:12" x14ac:dyDescent="0.25">
      <c r="A99" t="s">
        <v>1254</v>
      </c>
      <c r="B99" s="95">
        <v>1.044</v>
      </c>
      <c r="C99" s="95">
        <v>1.054</v>
      </c>
      <c r="D99" s="95">
        <v>1.004</v>
      </c>
      <c r="E99" s="95">
        <v>1.01</v>
      </c>
      <c r="F99" s="94">
        <v>4.8000000000000001E-2</v>
      </c>
      <c r="G99" s="94">
        <v>0.06</v>
      </c>
      <c r="H99" s="96">
        <v>25</v>
      </c>
      <c r="I99" s="96">
        <v>45</v>
      </c>
      <c r="J99" s="96">
        <v>3</v>
      </c>
      <c r="K99" s="96">
        <v>5</v>
      </c>
      <c r="L99" s="149">
        <v>2.7</v>
      </c>
    </row>
    <row r="100" spans="1:12" x14ac:dyDescent="0.25">
      <c r="A100" t="s">
        <v>1227</v>
      </c>
      <c r="B100" s="95">
        <v>1.056</v>
      </c>
      <c r="C100" s="95">
        <v>1.075</v>
      </c>
      <c r="D100" s="95">
        <v>1.01</v>
      </c>
      <c r="E100" s="95">
        <v>1.018</v>
      </c>
      <c r="F100" s="94">
        <v>5.5E-2</v>
      </c>
      <c r="G100" s="94">
        <v>0.08</v>
      </c>
      <c r="H100" s="96">
        <v>30</v>
      </c>
      <c r="I100" s="96">
        <v>50</v>
      </c>
      <c r="J100" s="96">
        <v>30</v>
      </c>
      <c r="K100" s="96">
        <v>40</v>
      </c>
      <c r="L100" s="149">
        <v>2.2999999999999998</v>
      </c>
    </row>
    <row r="101" spans="1:12" x14ac:dyDescent="0.25">
      <c r="A101" t="s">
        <v>497</v>
      </c>
      <c r="B101" s="95">
        <v>1.048</v>
      </c>
      <c r="C101" s="95">
        <v>1.0549999999999999</v>
      </c>
      <c r="D101" s="95">
        <v>1.01</v>
      </c>
      <c r="E101" s="95">
        <v>1.014</v>
      </c>
      <c r="F101" s="94">
        <v>4.7E-2</v>
      </c>
      <c r="G101" s="94">
        <v>5.5E-2</v>
      </c>
      <c r="H101" s="96">
        <v>18</v>
      </c>
      <c r="I101" s="96">
        <v>30</v>
      </c>
      <c r="J101" s="96">
        <v>9</v>
      </c>
      <c r="K101" s="96">
        <v>15</v>
      </c>
      <c r="L101" s="149">
        <v>2.2999999999999998</v>
      </c>
    </row>
    <row r="102" spans="1:12" x14ac:dyDescent="0.25">
      <c r="A102" t="s">
        <v>1229</v>
      </c>
      <c r="B102" s="95">
        <v>1.07</v>
      </c>
      <c r="C102" s="95">
        <v>1.1299999999999999</v>
      </c>
      <c r="D102" s="95">
        <v>1.018</v>
      </c>
      <c r="E102" s="95">
        <v>1.04</v>
      </c>
      <c r="F102" s="94">
        <v>6.5000000000000002E-2</v>
      </c>
      <c r="G102" s="94">
        <v>0.1</v>
      </c>
      <c r="H102" s="96">
        <v>17</v>
      </c>
      <c r="I102" s="96">
        <v>35</v>
      </c>
      <c r="J102" s="96">
        <v>14</v>
      </c>
      <c r="K102" s="96">
        <v>25</v>
      </c>
      <c r="L102" s="149">
        <v>2.2999999999999998</v>
      </c>
    </row>
    <row r="103" spans="1:12" x14ac:dyDescent="0.25">
      <c r="A103" t="s">
        <v>1212</v>
      </c>
      <c r="B103" s="95">
        <v>1.044</v>
      </c>
      <c r="C103" s="95">
        <v>1.052</v>
      </c>
      <c r="D103" s="95">
        <v>1.01</v>
      </c>
      <c r="E103" s="95">
        <v>1.014</v>
      </c>
      <c r="F103" s="94">
        <v>4.2999999999999997E-2</v>
      </c>
      <c r="G103" s="94">
        <v>5.6000000000000001E-2</v>
      </c>
      <c r="H103" s="96">
        <v>8</v>
      </c>
      <c r="I103" s="96">
        <v>15</v>
      </c>
      <c r="J103" s="96">
        <v>2</v>
      </c>
      <c r="K103" s="96">
        <v>6</v>
      </c>
      <c r="L103" s="149">
        <v>3</v>
      </c>
    </row>
    <row r="104" spans="1:12" x14ac:dyDescent="0.25">
      <c r="A104" t="s">
        <v>337</v>
      </c>
      <c r="B104" s="95">
        <v>1.0640000000000001</v>
      </c>
      <c r="C104" s="95">
        <v>1.0900000000000001</v>
      </c>
      <c r="D104" s="95">
        <v>1.0149999999999999</v>
      </c>
      <c r="E104" s="95">
        <v>1.022</v>
      </c>
      <c r="F104" s="94">
        <v>6.5000000000000002E-2</v>
      </c>
      <c r="G104" s="94">
        <v>0.09</v>
      </c>
      <c r="H104" s="96">
        <v>15</v>
      </c>
      <c r="I104" s="96">
        <v>30</v>
      </c>
      <c r="J104" s="96">
        <v>6</v>
      </c>
      <c r="K104" s="96">
        <v>25</v>
      </c>
      <c r="L104" s="149">
        <v>2.5</v>
      </c>
    </row>
    <row r="105" spans="1:12" x14ac:dyDescent="0.25">
      <c r="A105" t="s">
        <v>1241</v>
      </c>
      <c r="B105" s="95">
        <v>1.08</v>
      </c>
      <c r="C105" s="95">
        <v>1.1200000000000001</v>
      </c>
      <c r="D105" s="95">
        <v>1.016</v>
      </c>
      <c r="E105" s="95">
        <v>1.03</v>
      </c>
      <c r="F105" s="94">
        <v>0.08</v>
      </c>
      <c r="G105" s="94">
        <v>0.12</v>
      </c>
      <c r="H105" s="96">
        <v>30</v>
      </c>
      <c r="I105" s="96">
        <v>60</v>
      </c>
      <c r="J105" s="96">
        <v>8</v>
      </c>
      <c r="K105" s="96">
        <v>15</v>
      </c>
      <c r="L105" s="149">
        <v>2.2999999999999998</v>
      </c>
    </row>
    <row r="106" spans="1:12" x14ac:dyDescent="0.25">
      <c r="A106" t="s">
        <v>1238</v>
      </c>
      <c r="B106" s="95">
        <v>1.056</v>
      </c>
      <c r="C106" s="95">
        <v>1.0649999999999999</v>
      </c>
      <c r="D106" s="95">
        <v>1.01</v>
      </c>
      <c r="E106" s="95">
        <v>1.016</v>
      </c>
      <c r="F106" s="94">
        <v>5.5E-2</v>
      </c>
      <c r="G106" s="94">
        <v>7.0000000000000007E-2</v>
      </c>
      <c r="H106" s="96">
        <v>40</v>
      </c>
      <c r="I106" s="96">
        <v>70</v>
      </c>
      <c r="J106" s="96">
        <v>5</v>
      </c>
      <c r="K106" s="96">
        <v>8</v>
      </c>
      <c r="L106" s="149">
        <v>2.4</v>
      </c>
    </row>
    <row r="107" spans="1:12" x14ac:dyDescent="0.25">
      <c r="A107" t="s">
        <v>673</v>
      </c>
      <c r="B107" s="95">
        <v>1.044</v>
      </c>
      <c r="C107" s="95">
        <v>1.052</v>
      </c>
      <c r="D107" s="95">
        <v>1.008</v>
      </c>
      <c r="E107" s="95">
        <v>1.012</v>
      </c>
      <c r="F107" s="94">
        <v>4.4999999999999998E-2</v>
      </c>
      <c r="G107" s="94">
        <v>5.5E-2</v>
      </c>
      <c r="H107" s="96">
        <v>8</v>
      </c>
      <c r="I107" s="96">
        <v>20</v>
      </c>
      <c r="J107" s="96">
        <v>2</v>
      </c>
      <c r="K107" s="96">
        <v>4</v>
      </c>
      <c r="L107" s="149">
        <v>2.5</v>
      </c>
    </row>
    <row r="108" spans="1:12" x14ac:dyDescent="0.25">
      <c r="A108" t="s">
        <v>1118</v>
      </c>
      <c r="B108" s="95">
        <v>1.0449999999999999</v>
      </c>
      <c r="C108" s="95">
        <v>1.06</v>
      </c>
      <c r="D108" s="95">
        <v>1.01</v>
      </c>
      <c r="E108" s="95">
        <v>1.0149999999999999</v>
      </c>
      <c r="F108" s="94">
        <v>4.4999999999999998E-2</v>
      </c>
      <c r="G108" s="94">
        <v>6.2E-2</v>
      </c>
      <c r="H108" s="96">
        <v>25</v>
      </c>
      <c r="I108" s="96">
        <v>40</v>
      </c>
      <c r="J108">
        <v>10</v>
      </c>
      <c r="K108">
        <v>17</v>
      </c>
      <c r="L108">
        <v>2.2999999999999998</v>
      </c>
    </row>
    <row r="109" spans="1:12" x14ac:dyDescent="0.25">
      <c r="A109" t="s">
        <v>1119</v>
      </c>
      <c r="B109" s="95">
        <v>1.08</v>
      </c>
      <c r="C109" s="95">
        <v>1.1200000000000001</v>
      </c>
      <c r="D109" s="95">
        <v>1.016</v>
      </c>
      <c r="E109" s="95">
        <v>1.03</v>
      </c>
      <c r="F109" s="94">
        <v>0.08</v>
      </c>
      <c r="G109" s="94">
        <v>0.12</v>
      </c>
      <c r="H109" s="96">
        <v>50</v>
      </c>
      <c r="I109" s="96">
        <v>120</v>
      </c>
      <c r="J109">
        <v>10</v>
      </c>
      <c r="K109">
        <v>19</v>
      </c>
      <c r="L109">
        <v>2.2999999999999998</v>
      </c>
    </row>
    <row r="110" spans="1:12" x14ac:dyDescent="0.25">
      <c r="A110" t="s">
        <v>1120</v>
      </c>
      <c r="B110" s="95">
        <v>1.0449999999999999</v>
      </c>
      <c r="C110" s="95">
        <v>1.06</v>
      </c>
      <c r="D110" s="95">
        <v>1.01</v>
      </c>
      <c r="E110" s="95">
        <v>1.016</v>
      </c>
      <c r="F110" s="94">
        <v>4.2999999999999997E-2</v>
      </c>
      <c r="G110" s="94">
        <v>6.2E-2</v>
      </c>
      <c r="H110" s="96">
        <v>20</v>
      </c>
      <c r="I110" s="96">
        <v>40</v>
      </c>
      <c r="J110">
        <v>18</v>
      </c>
      <c r="K110">
        <v>35</v>
      </c>
      <c r="L110">
        <v>2.2999999999999998</v>
      </c>
    </row>
    <row r="111" spans="1:12" x14ac:dyDescent="0.25">
      <c r="A111" t="s">
        <v>1121</v>
      </c>
      <c r="B111" s="95">
        <v>1.056</v>
      </c>
      <c r="C111" s="95">
        <v>1.075</v>
      </c>
      <c r="D111" s="95">
        <v>1.01</v>
      </c>
      <c r="E111" s="95">
        <v>1.018</v>
      </c>
      <c r="F111" s="94">
        <v>5.5E-2</v>
      </c>
      <c r="G111" s="94">
        <v>7.4999999999999997E-2</v>
      </c>
      <c r="H111" s="96">
        <v>40</v>
      </c>
      <c r="I111" s="96">
        <v>70</v>
      </c>
      <c r="J111">
        <v>6</v>
      </c>
      <c r="K111">
        <v>15</v>
      </c>
      <c r="L111">
        <v>2.2999999999999998</v>
      </c>
    </row>
    <row r="112" spans="1:12" x14ac:dyDescent="0.25">
      <c r="A112" t="s">
        <v>1122</v>
      </c>
      <c r="B112" s="95">
        <v>1.0449999999999999</v>
      </c>
      <c r="C112" s="95">
        <v>1.06</v>
      </c>
      <c r="D112" s="95">
        <v>1.01</v>
      </c>
      <c r="E112" s="95">
        <v>1.0149999999999999</v>
      </c>
      <c r="F112" s="94">
        <v>4.4999999999999998E-2</v>
      </c>
      <c r="G112" s="94">
        <v>6.2E-2</v>
      </c>
      <c r="H112" s="96">
        <v>30</v>
      </c>
      <c r="I112" s="96">
        <v>45</v>
      </c>
      <c r="J112">
        <v>5</v>
      </c>
      <c r="K112">
        <v>14</v>
      </c>
      <c r="L112">
        <v>2.2999999999999998</v>
      </c>
    </row>
    <row r="113" spans="1:12" x14ac:dyDescent="0.25">
      <c r="A113" t="s">
        <v>1123</v>
      </c>
      <c r="B113" s="95">
        <v>1.05</v>
      </c>
      <c r="C113" s="95">
        <v>1.075</v>
      </c>
      <c r="D113" s="95">
        <v>1.01</v>
      </c>
      <c r="E113" s="95">
        <v>1.022</v>
      </c>
      <c r="F113" s="94">
        <v>0.05</v>
      </c>
      <c r="G113" s="94">
        <v>7.0000000000000007E-2</v>
      </c>
      <c r="H113" s="96">
        <v>35</v>
      </c>
      <c r="I113" s="96">
        <v>75</v>
      </c>
      <c r="J113">
        <v>30</v>
      </c>
      <c r="K113">
        <v>40</v>
      </c>
      <c r="L113">
        <v>2.7</v>
      </c>
    </row>
    <row r="114" spans="1:12" x14ac:dyDescent="0.25">
      <c r="A114" t="s">
        <v>1124</v>
      </c>
      <c r="B114" s="95">
        <v>1.04</v>
      </c>
      <c r="C114" s="95">
        <v>1.0549999999999999</v>
      </c>
      <c r="D114" s="95">
        <v>1.008</v>
      </c>
      <c r="E114" s="95">
        <v>1.0129999999999999</v>
      </c>
      <c r="F114" s="94">
        <v>0.04</v>
      </c>
      <c r="G114" s="94">
        <v>5.5E-2</v>
      </c>
      <c r="H114" s="96">
        <v>15</v>
      </c>
      <c r="I114" s="96">
        <v>30</v>
      </c>
      <c r="J114">
        <v>3</v>
      </c>
      <c r="K114">
        <v>6</v>
      </c>
      <c r="L114">
        <v>2.5</v>
      </c>
    </row>
    <row r="115" spans="1:12" x14ac:dyDescent="0.25">
      <c r="A115" t="s">
        <v>1125</v>
      </c>
      <c r="B115" s="95">
        <v>1.06</v>
      </c>
      <c r="C115" s="95">
        <v>1.0900000000000001</v>
      </c>
      <c r="D115" s="95">
        <v>1.016</v>
      </c>
      <c r="E115" s="95">
        <v>1.024</v>
      </c>
      <c r="F115" s="94">
        <v>5.5E-2</v>
      </c>
      <c r="G115" s="94">
        <v>9.5000000000000001E-2</v>
      </c>
      <c r="H115" s="96">
        <v>20</v>
      </c>
      <c r="I115" s="96">
        <v>40</v>
      </c>
      <c r="J115">
        <v>17</v>
      </c>
      <c r="K115">
        <v>30</v>
      </c>
      <c r="L115">
        <v>2.2999999999999998</v>
      </c>
    </row>
    <row r="116" spans="1:12" x14ac:dyDescent="0.25">
      <c r="A116" t="s">
        <v>1126</v>
      </c>
      <c r="B116" s="95">
        <v>1.0620000000000001</v>
      </c>
      <c r="C116" s="95">
        <v>1.075</v>
      </c>
      <c r="D116" s="95">
        <v>1.008</v>
      </c>
      <c r="E116" s="95">
        <v>1.018</v>
      </c>
      <c r="F116" s="94">
        <v>0.06</v>
      </c>
      <c r="G116" s="94">
        <v>7.4999999999999997E-2</v>
      </c>
      <c r="H116" s="96">
        <v>15</v>
      </c>
      <c r="I116" s="96">
        <v>30</v>
      </c>
      <c r="J116">
        <v>4</v>
      </c>
      <c r="K116">
        <v>7</v>
      </c>
      <c r="L116">
        <v>3.5</v>
      </c>
    </row>
    <row r="117" spans="1:12" x14ac:dyDescent="0.25">
      <c r="A117" t="s">
        <v>1127</v>
      </c>
      <c r="B117" s="95">
        <v>1.075</v>
      </c>
      <c r="C117" s="95">
        <v>1.1100000000000001</v>
      </c>
      <c r="D117" s="95">
        <v>1.01</v>
      </c>
      <c r="E117" s="95">
        <v>1.024</v>
      </c>
      <c r="F117" s="94">
        <v>0.08</v>
      </c>
      <c r="G117" s="94">
        <v>0.11</v>
      </c>
      <c r="H117" s="96">
        <v>20</v>
      </c>
      <c r="I117" s="96">
        <v>35</v>
      </c>
      <c r="J117">
        <v>12</v>
      </c>
      <c r="K117">
        <v>22</v>
      </c>
      <c r="L117">
        <v>2.7</v>
      </c>
    </row>
    <row r="118" spans="1:12" x14ac:dyDescent="0.25">
      <c r="A118" t="s">
        <v>1128</v>
      </c>
      <c r="B118" s="95">
        <v>1.0620000000000001</v>
      </c>
      <c r="C118" s="95">
        <v>1.075</v>
      </c>
      <c r="D118" s="95">
        <v>1.008</v>
      </c>
      <c r="E118" s="95">
        <v>1.018</v>
      </c>
      <c r="F118" s="94">
        <v>0.06</v>
      </c>
      <c r="G118" s="94">
        <v>7.5999999999999998E-2</v>
      </c>
      <c r="H118" s="96">
        <v>15</v>
      </c>
      <c r="I118" s="96">
        <v>25</v>
      </c>
      <c r="J118">
        <v>10</v>
      </c>
      <c r="K118">
        <v>17</v>
      </c>
      <c r="L118">
        <v>3.5</v>
      </c>
    </row>
    <row r="119" spans="1:12" x14ac:dyDescent="0.25">
      <c r="A119" t="s">
        <v>1129</v>
      </c>
      <c r="B119" s="95">
        <v>1.07</v>
      </c>
      <c r="C119" s="95">
        <v>1.095</v>
      </c>
      <c r="D119" s="95">
        <v>1.0049999999999999</v>
      </c>
      <c r="E119" s="95">
        <v>1.016</v>
      </c>
      <c r="F119" s="94">
        <v>7.4999999999999997E-2</v>
      </c>
      <c r="G119" s="94">
        <v>0.105</v>
      </c>
      <c r="H119" s="96">
        <v>22</v>
      </c>
      <c r="I119" s="96">
        <v>35</v>
      </c>
      <c r="J119">
        <v>3</v>
      </c>
      <c r="K119">
        <v>6</v>
      </c>
      <c r="L119">
        <v>4</v>
      </c>
    </row>
    <row r="120" spans="1:12" x14ac:dyDescent="0.25">
      <c r="A120" t="s">
        <v>1130</v>
      </c>
      <c r="B120" s="95">
        <v>1.048</v>
      </c>
      <c r="C120" s="95">
        <v>1.054</v>
      </c>
      <c r="D120" s="95">
        <v>1.01</v>
      </c>
      <c r="E120" s="95">
        <v>1.014</v>
      </c>
      <c r="F120" s="94">
        <v>4.8000000000000001E-2</v>
      </c>
      <c r="G120" s="94">
        <v>5.5E-2</v>
      </c>
      <c r="H120" s="96">
        <v>20</v>
      </c>
      <c r="I120" s="96">
        <v>30</v>
      </c>
      <c r="J120">
        <v>8</v>
      </c>
      <c r="K120">
        <v>14</v>
      </c>
      <c r="L120">
        <v>2.5</v>
      </c>
    </row>
    <row r="121" spans="1:12" x14ac:dyDescent="0.25">
      <c r="A121" t="s">
        <v>1131</v>
      </c>
      <c r="B121" s="95">
        <v>1.075</v>
      </c>
      <c r="C121" s="95">
        <v>1.085</v>
      </c>
      <c r="D121" s="95">
        <v>1.008</v>
      </c>
      <c r="E121" s="95">
        <v>1.014</v>
      </c>
      <c r="F121" s="94">
        <v>7.4999999999999997E-2</v>
      </c>
      <c r="G121" s="94">
        <v>9.5000000000000001E-2</v>
      </c>
      <c r="H121" s="96">
        <v>20</v>
      </c>
      <c r="I121" s="96">
        <v>40</v>
      </c>
      <c r="J121">
        <v>4.5</v>
      </c>
      <c r="K121">
        <v>7</v>
      </c>
      <c r="L121">
        <v>3.5</v>
      </c>
    </row>
    <row r="122" spans="1:12" x14ac:dyDescent="0.25">
      <c r="A122" t="s">
        <v>1132</v>
      </c>
      <c r="B122" s="95">
        <v>1.028</v>
      </c>
      <c r="C122" s="95">
        <v>1.032</v>
      </c>
      <c r="D122" s="95">
        <v>1.0029999999999999</v>
      </c>
      <c r="E122" s="95">
        <v>1.006</v>
      </c>
      <c r="F122" s="94">
        <v>2.8000000000000001E-2</v>
      </c>
      <c r="G122" s="94">
        <v>3.7999999999999999E-2</v>
      </c>
      <c r="H122" s="96">
        <v>3</v>
      </c>
      <c r="I122" s="96">
        <v>8</v>
      </c>
      <c r="J122">
        <v>2</v>
      </c>
      <c r="K122">
        <v>3</v>
      </c>
      <c r="L122">
        <v>3.5</v>
      </c>
    </row>
    <row r="123" spans="1:12" x14ac:dyDescent="0.25">
      <c r="A123" t="s">
        <v>1133</v>
      </c>
      <c r="B123" s="95">
        <v>1.06</v>
      </c>
      <c r="C123" s="95">
        <v>1.08</v>
      </c>
      <c r="D123" s="95">
        <v>1.008</v>
      </c>
      <c r="E123" s="95">
        <v>1.016</v>
      </c>
      <c r="F123" s="94">
        <v>0.06</v>
      </c>
      <c r="G123" s="94">
        <v>8.5000000000000006E-2</v>
      </c>
      <c r="H123" s="96">
        <v>18</v>
      </c>
      <c r="I123" s="96">
        <v>28</v>
      </c>
      <c r="J123">
        <v>6</v>
      </c>
      <c r="K123">
        <v>19</v>
      </c>
      <c r="L123">
        <v>3</v>
      </c>
    </row>
    <row r="124" spans="1:12" x14ac:dyDescent="0.25">
      <c r="A124" t="s">
        <v>1134</v>
      </c>
      <c r="B124" s="95">
        <v>1.038</v>
      </c>
      <c r="C124" s="95">
        <v>1.054</v>
      </c>
      <c r="D124" s="95">
        <v>1.008</v>
      </c>
      <c r="E124" s="95">
        <v>1.0129999999999999</v>
      </c>
      <c r="F124" s="94">
        <v>3.7999999999999999E-2</v>
      </c>
      <c r="G124" s="94">
        <v>5.5E-2</v>
      </c>
      <c r="H124" s="96">
        <v>15</v>
      </c>
      <c r="I124" s="96">
        <v>28</v>
      </c>
      <c r="J124">
        <v>3</v>
      </c>
      <c r="K124">
        <v>6</v>
      </c>
      <c r="L124">
        <v>2.5</v>
      </c>
    </row>
    <row r="125" spans="1:12" x14ac:dyDescent="0.25">
      <c r="A125" t="s">
        <v>1135</v>
      </c>
      <c r="B125" s="95">
        <v>1.044</v>
      </c>
      <c r="C125" s="95">
        <v>1.056</v>
      </c>
      <c r="D125" s="95">
        <v>1.0129999999999999</v>
      </c>
      <c r="E125" s="95">
        <v>1.0169999999999999</v>
      </c>
      <c r="F125" s="94">
        <v>4.2000000000000003E-2</v>
      </c>
      <c r="G125" s="94">
        <v>5.4000000000000006E-2</v>
      </c>
      <c r="H125" s="96">
        <v>35</v>
      </c>
      <c r="I125" s="96">
        <v>45</v>
      </c>
      <c r="J125">
        <v>3.5</v>
      </c>
      <c r="K125">
        <v>6</v>
      </c>
      <c r="L125">
        <v>2.2999999999999998</v>
      </c>
    </row>
    <row r="126" spans="1:12" x14ac:dyDescent="0.25">
      <c r="A126" t="s">
        <v>1136</v>
      </c>
      <c r="B126" s="95">
        <v>1.04</v>
      </c>
      <c r="C126" s="95">
        <v>1.052</v>
      </c>
      <c r="D126" s="95">
        <v>1.008</v>
      </c>
      <c r="E126" s="95">
        <v>1.014</v>
      </c>
      <c r="F126" s="94">
        <v>0.04</v>
      </c>
      <c r="G126" s="94">
        <v>5.4000000000000006E-2</v>
      </c>
      <c r="H126" s="96">
        <v>18</v>
      </c>
      <c r="I126" s="96">
        <v>35</v>
      </c>
      <c r="J126">
        <v>20</v>
      </c>
      <c r="K126">
        <v>30</v>
      </c>
      <c r="L126">
        <v>1.7</v>
      </c>
    </row>
    <row r="127" spans="1:12" x14ac:dyDescent="0.25">
      <c r="A127" t="s">
        <v>1137</v>
      </c>
      <c r="B127" s="95">
        <v>1.048</v>
      </c>
      <c r="C127" s="95">
        <v>1.054</v>
      </c>
      <c r="D127" s="95">
        <v>1.0109999999999999</v>
      </c>
      <c r="E127" s="95">
        <v>1.014</v>
      </c>
      <c r="F127" s="94">
        <v>4.4999999999999998E-2</v>
      </c>
      <c r="G127" s="94">
        <v>5.5E-2</v>
      </c>
      <c r="H127" s="96">
        <v>30</v>
      </c>
      <c r="I127" s="96">
        <v>45</v>
      </c>
      <c r="J127">
        <v>10</v>
      </c>
      <c r="K127">
        <v>14</v>
      </c>
      <c r="L127">
        <v>2.7</v>
      </c>
    </row>
    <row r="128" spans="1:12" x14ac:dyDescent="0.25">
      <c r="A128" t="s">
        <v>1138</v>
      </c>
      <c r="B128" s="95">
        <v>1.044</v>
      </c>
      <c r="C128" s="95">
        <v>1.06</v>
      </c>
      <c r="D128" s="95">
        <v>1.01</v>
      </c>
      <c r="E128" s="95">
        <v>1.0149999999999999</v>
      </c>
      <c r="F128" s="94">
        <v>4.4999999999999998E-2</v>
      </c>
      <c r="G128" s="94">
        <v>0.06</v>
      </c>
      <c r="H128" s="96">
        <v>25</v>
      </c>
      <c r="I128" s="96">
        <v>40</v>
      </c>
      <c r="J128">
        <v>3</v>
      </c>
      <c r="K128">
        <v>6</v>
      </c>
      <c r="L128">
        <v>2.2999999999999998</v>
      </c>
    </row>
    <row r="129" spans="1:12" x14ac:dyDescent="0.25">
      <c r="A129" t="s">
        <v>1139</v>
      </c>
      <c r="B129" s="95">
        <v>1.05</v>
      </c>
      <c r="C129" s="95">
        <v>1.0569999999999999</v>
      </c>
      <c r="D129" s="95">
        <v>1.012</v>
      </c>
      <c r="E129" s="95">
        <v>1.016</v>
      </c>
      <c r="F129" s="94">
        <v>4.8000000000000001E-2</v>
      </c>
      <c r="G129" s="94">
        <v>0.06</v>
      </c>
      <c r="H129" s="96">
        <v>20</v>
      </c>
      <c r="I129" s="96">
        <v>30</v>
      </c>
      <c r="J129">
        <v>12</v>
      </c>
      <c r="K129">
        <v>22</v>
      </c>
      <c r="L129">
        <v>2.2999999999999998</v>
      </c>
    </row>
    <row r="130" spans="1:12" x14ac:dyDescent="0.25">
      <c r="A130" t="s">
        <v>1140</v>
      </c>
      <c r="B130" s="95">
        <v>1.042</v>
      </c>
      <c r="C130" s="95">
        <v>1.0549999999999999</v>
      </c>
      <c r="D130" s="95">
        <v>1.006</v>
      </c>
      <c r="E130" s="95">
        <v>1.012</v>
      </c>
      <c r="F130" s="94">
        <v>4.2000000000000003E-2</v>
      </c>
      <c r="G130" s="94">
        <v>5.5999999999999994E-2</v>
      </c>
      <c r="H130" s="96">
        <v>15</v>
      </c>
      <c r="I130" s="96">
        <v>20</v>
      </c>
      <c r="J130">
        <v>2.5</v>
      </c>
      <c r="K130">
        <v>5</v>
      </c>
      <c r="L130">
        <v>2.5</v>
      </c>
    </row>
    <row r="131" spans="1:12" x14ac:dyDescent="0.25">
      <c r="A131" t="s">
        <v>1141</v>
      </c>
      <c r="B131" s="95">
        <v>1.044</v>
      </c>
      <c r="C131" s="95">
        <v>1.056</v>
      </c>
      <c r="D131" s="95">
        <v>1.008</v>
      </c>
      <c r="E131" s="95">
        <v>1.012</v>
      </c>
      <c r="F131" s="94">
        <v>4.2000000000000003E-2</v>
      </c>
      <c r="G131" s="94">
        <v>0.06</v>
      </c>
      <c r="H131" s="96">
        <v>8</v>
      </c>
      <c r="I131" s="96">
        <v>20</v>
      </c>
      <c r="J131">
        <v>14</v>
      </c>
      <c r="K131">
        <v>22</v>
      </c>
      <c r="L131">
        <v>2.7</v>
      </c>
    </row>
    <row r="132" spans="1:12" x14ac:dyDescent="0.25">
      <c r="A132" t="s">
        <v>1142</v>
      </c>
      <c r="B132" s="95">
        <v>1.0720000000000001</v>
      </c>
      <c r="C132" s="95">
        <v>1.1120000000000001</v>
      </c>
      <c r="D132" s="95">
        <v>1.016</v>
      </c>
      <c r="E132" s="95">
        <v>1.024</v>
      </c>
      <c r="F132" s="94">
        <v>7.0000000000000007E-2</v>
      </c>
      <c r="G132" s="94">
        <v>0.1</v>
      </c>
      <c r="H132" s="96">
        <v>16</v>
      </c>
      <c r="I132" s="96">
        <v>26</v>
      </c>
      <c r="J132">
        <v>6</v>
      </c>
      <c r="K132">
        <v>25</v>
      </c>
      <c r="L132">
        <v>2.5</v>
      </c>
    </row>
    <row r="133" spans="1:12" x14ac:dyDescent="0.25">
      <c r="A133" t="s">
        <v>1143</v>
      </c>
      <c r="B133" s="95">
        <v>1.048</v>
      </c>
      <c r="C133" s="95">
        <v>1.056</v>
      </c>
      <c r="D133" s="95">
        <v>1.01</v>
      </c>
      <c r="E133" s="95">
        <v>1.0149999999999999</v>
      </c>
      <c r="F133" s="94">
        <v>4.8000000000000001E-2</v>
      </c>
      <c r="G133" s="94">
        <v>0.06</v>
      </c>
      <c r="H133" s="96">
        <v>23</v>
      </c>
      <c r="I133" s="96">
        <v>30</v>
      </c>
      <c r="J133">
        <v>4</v>
      </c>
      <c r="K133">
        <v>6</v>
      </c>
      <c r="L133">
        <v>2.2999999999999998</v>
      </c>
    </row>
    <row r="134" spans="1:12" x14ac:dyDescent="0.25">
      <c r="A134" t="s">
        <v>1144</v>
      </c>
      <c r="B134" s="95">
        <v>1.036</v>
      </c>
      <c r="C134" s="95">
        <v>1.05</v>
      </c>
      <c r="D134" s="95">
        <v>1.0069999999999999</v>
      </c>
      <c r="E134" s="95">
        <v>1.0109999999999999</v>
      </c>
      <c r="F134" s="94">
        <v>0.04</v>
      </c>
      <c r="G134" s="94">
        <v>0.05</v>
      </c>
      <c r="H134" s="96">
        <v>30</v>
      </c>
      <c r="I134" s="96">
        <v>45</v>
      </c>
      <c r="J134">
        <v>25</v>
      </c>
      <c r="K134">
        <v>40</v>
      </c>
      <c r="L134">
        <v>1.5</v>
      </c>
    </row>
    <row r="135" spans="1:12" x14ac:dyDescent="0.25">
      <c r="A135" t="s">
        <v>1145</v>
      </c>
      <c r="B135" s="95">
        <v>1.046</v>
      </c>
      <c r="C135" s="95">
        <v>1.054</v>
      </c>
      <c r="D135" s="95">
        <v>1.01</v>
      </c>
      <c r="E135" s="95">
        <v>1.0149999999999999</v>
      </c>
      <c r="F135" s="94">
        <v>4.4999999999999998E-2</v>
      </c>
      <c r="G135" s="94">
        <v>5.2000000000000005E-2</v>
      </c>
      <c r="H135" s="96">
        <v>35</v>
      </c>
      <c r="I135" s="96">
        <v>50</v>
      </c>
      <c r="J135">
        <v>11</v>
      </c>
      <c r="K135">
        <v>17</v>
      </c>
      <c r="L135">
        <v>2</v>
      </c>
    </row>
    <row r="136" spans="1:12" x14ac:dyDescent="0.25">
      <c r="A136" t="s">
        <v>1146</v>
      </c>
      <c r="B136" s="95">
        <v>1.044</v>
      </c>
      <c r="C136" s="95">
        <v>1.056</v>
      </c>
      <c r="D136" s="95">
        <v>1.01</v>
      </c>
      <c r="E136" s="95">
        <v>1.014</v>
      </c>
      <c r="F136" s="94">
        <v>4.2999999999999997E-2</v>
      </c>
      <c r="G136" s="94">
        <v>5.5999999999999994E-2</v>
      </c>
      <c r="H136" s="96">
        <v>10</v>
      </c>
      <c r="I136" s="96">
        <v>18</v>
      </c>
      <c r="J136">
        <v>14</v>
      </c>
      <c r="K136">
        <v>23</v>
      </c>
      <c r="L136">
        <v>3</v>
      </c>
    </row>
    <row r="137" spans="1:12" x14ac:dyDescent="0.25">
      <c r="A137" t="s">
        <v>1147</v>
      </c>
      <c r="B137" s="95">
        <v>1.08</v>
      </c>
      <c r="C137" s="95">
        <v>1.1200000000000001</v>
      </c>
      <c r="D137" s="95">
        <v>1.018</v>
      </c>
      <c r="E137" s="95">
        <v>1.03</v>
      </c>
      <c r="F137" s="94">
        <v>0.08</v>
      </c>
      <c r="G137" s="94">
        <v>0.12</v>
      </c>
      <c r="H137" s="96">
        <v>35</v>
      </c>
      <c r="I137" s="96">
        <v>70</v>
      </c>
      <c r="J137">
        <v>8</v>
      </c>
      <c r="K137">
        <v>22</v>
      </c>
      <c r="L137">
        <v>1.7</v>
      </c>
    </row>
    <row r="138" spans="1:12" x14ac:dyDescent="0.25">
      <c r="A138" t="s">
        <v>1148</v>
      </c>
      <c r="B138" s="95">
        <v>1.05</v>
      </c>
      <c r="C138" s="95">
        <v>1.075</v>
      </c>
      <c r="D138" s="95">
        <v>1.01</v>
      </c>
      <c r="E138" s="95">
        <v>1.018</v>
      </c>
      <c r="F138" s="94">
        <v>0.05</v>
      </c>
      <c r="G138" s="94">
        <v>7.4999999999999997E-2</v>
      </c>
      <c r="H138" s="96">
        <v>40</v>
      </c>
      <c r="I138" s="96">
        <v>60</v>
      </c>
      <c r="J138">
        <v>8</v>
      </c>
      <c r="K138">
        <v>14</v>
      </c>
      <c r="L138">
        <v>2.2999999999999998</v>
      </c>
    </row>
    <row r="139" spans="1:12" x14ac:dyDescent="0.25">
      <c r="A139" t="s">
        <v>1149</v>
      </c>
      <c r="B139" s="95">
        <v>1.048</v>
      </c>
      <c r="C139" s="95">
        <v>1.06</v>
      </c>
      <c r="D139" s="95">
        <v>1.01</v>
      </c>
      <c r="E139" s="95">
        <v>1.016</v>
      </c>
      <c r="F139" s="94">
        <v>4.5999999999999999E-2</v>
      </c>
      <c r="G139" s="94">
        <v>6.2E-2</v>
      </c>
      <c r="H139" s="96">
        <v>30</v>
      </c>
      <c r="I139" s="96">
        <v>50</v>
      </c>
      <c r="J139">
        <v>6</v>
      </c>
      <c r="K139">
        <v>18</v>
      </c>
      <c r="L139">
        <v>1.7</v>
      </c>
    </row>
    <row r="140" spans="1:12" x14ac:dyDescent="0.25">
      <c r="A140" t="s">
        <v>1150</v>
      </c>
      <c r="B140" s="95">
        <v>1.04</v>
      </c>
      <c r="C140" s="95">
        <v>1.0740000000000001</v>
      </c>
      <c r="D140" s="95">
        <v>1.008</v>
      </c>
      <c r="E140" s="95">
        <v>1.012</v>
      </c>
      <c r="F140" s="94">
        <v>0.04</v>
      </c>
      <c r="G140" s="94">
        <v>0.08</v>
      </c>
      <c r="H140" s="96">
        <v>20</v>
      </c>
      <c r="I140" s="96">
        <v>25</v>
      </c>
      <c r="J140">
        <v>15</v>
      </c>
      <c r="K140">
        <v>22</v>
      </c>
      <c r="L140">
        <v>2.2999999999999998</v>
      </c>
    </row>
    <row r="141" spans="1:12" x14ac:dyDescent="0.25">
      <c r="A141" t="s">
        <v>1151</v>
      </c>
      <c r="B141" s="95">
        <v>1.048</v>
      </c>
      <c r="C141" s="95">
        <v>1.0569999999999999</v>
      </c>
      <c r="D141" s="95">
        <v>1.002</v>
      </c>
      <c r="E141" s="95">
        <v>1.012</v>
      </c>
      <c r="F141" s="94">
        <v>4.5999999999999999E-2</v>
      </c>
      <c r="G141" s="94">
        <v>6.5000000000000002E-2</v>
      </c>
      <c r="H141" s="96">
        <v>10</v>
      </c>
      <c r="I141" s="96">
        <v>25</v>
      </c>
      <c r="J141">
        <v>10</v>
      </c>
      <c r="K141">
        <v>16</v>
      </c>
      <c r="L141">
        <v>2.2999999999999998</v>
      </c>
    </row>
    <row r="142" spans="1:12" x14ac:dyDescent="0.25">
      <c r="A142" t="s">
        <v>1152</v>
      </c>
      <c r="B142" s="95">
        <v>1.056</v>
      </c>
      <c r="C142" s="95">
        <v>1.075</v>
      </c>
      <c r="D142" s="95">
        <v>1.01</v>
      </c>
      <c r="E142" s="95">
        <v>1.018</v>
      </c>
      <c r="F142" s="94">
        <v>5.5E-2</v>
      </c>
      <c r="G142" s="94">
        <v>0.08</v>
      </c>
      <c r="H142" s="96">
        <v>30</v>
      </c>
      <c r="I142" s="96">
        <v>70</v>
      </c>
      <c r="J142">
        <v>30</v>
      </c>
      <c r="K142">
        <v>40</v>
      </c>
      <c r="L142">
        <v>2.2999999999999998</v>
      </c>
    </row>
    <row r="143" spans="1:12" x14ac:dyDescent="0.25">
      <c r="A143" t="s">
        <v>1153</v>
      </c>
      <c r="B143" s="95">
        <v>1.04</v>
      </c>
      <c r="C143" s="95">
        <v>1.06</v>
      </c>
      <c r="D143" s="95">
        <v>1</v>
      </c>
      <c r="E143" s="95">
        <v>1.01</v>
      </c>
      <c r="F143" s="94">
        <v>0.05</v>
      </c>
      <c r="G143" s="94">
        <v>7.0000000000000007E-2</v>
      </c>
      <c r="H143" s="96">
        <v>0</v>
      </c>
      <c r="I143" s="96">
        <v>10</v>
      </c>
      <c r="J143">
        <v>3</v>
      </c>
      <c r="K143">
        <v>7</v>
      </c>
      <c r="L143">
        <v>4</v>
      </c>
    </row>
    <row r="144" spans="1:12" x14ac:dyDescent="0.25">
      <c r="A144" t="s">
        <v>1154</v>
      </c>
      <c r="B144" s="95">
        <v>1.044</v>
      </c>
      <c r="C144" s="95">
        <v>1.05</v>
      </c>
      <c r="D144" s="95">
        <v>1.008</v>
      </c>
      <c r="E144" s="95">
        <v>1.0129999999999999</v>
      </c>
      <c r="F144" s="94">
        <v>4.4000000000000004E-2</v>
      </c>
      <c r="G144" s="94">
        <v>5.2000000000000005E-2</v>
      </c>
      <c r="H144" s="96">
        <v>25</v>
      </c>
      <c r="I144" s="96">
        <v>45</v>
      </c>
      <c r="J144">
        <v>2</v>
      </c>
      <c r="K144">
        <v>5</v>
      </c>
      <c r="L144">
        <v>2.2999999999999998</v>
      </c>
    </row>
    <row r="145" spans="1:12" x14ac:dyDescent="0.25">
      <c r="A145" t="s">
        <v>1155</v>
      </c>
      <c r="B145" s="95">
        <v>1.04</v>
      </c>
      <c r="C145" s="95">
        <v>1.06</v>
      </c>
      <c r="D145" s="95">
        <v>1</v>
      </c>
      <c r="E145" s="95">
        <v>1.006</v>
      </c>
      <c r="F145" s="94">
        <v>0.05</v>
      </c>
      <c r="G145" s="94">
        <v>0.08</v>
      </c>
      <c r="H145" s="96">
        <v>0</v>
      </c>
      <c r="I145" s="96">
        <v>10</v>
      </c>
      <c r="J145">
        <v>3</v>
      </c>
      <c r="K145">
        <v>7</v>
      </c>
      <c r="L145">
        <v>4</v>
      </c>
    </row>
    <row r="146" spans="1:12" x14ac:dyDescent="0.25">
      <c r="A146" t="s">
        <v>1156</v>
      </c>
      <c r="B146" s="95">
        <v>1.07</v>
      </c>
      <c r="C146" s="95">
        <v>1.0900000000000001</v>
      </c>
      <c r="D146" s="95">
        <v>1.01</v>
      </c>
      <c r="E146" s="95">
        <v>1.02</v>
      </c>
      <c r="F146" s="94">
        <v>7.4999999999999997E-2</v>
      </c>
      <c r="G146" s="94">
        <v>0.1</v>
      </c>
      <c r="H146" s="96">
        <v>60</v>
      </c>
      <c r="I146" s="96">
        <v>120</v>
      </c>
      <c r="J146">
        <v>8</v>
      </c>
      <c r="K146">
        <v>15</v>
      </c>
      <c r="L146">
        <v>2.2999999999999998</v>
      </c>
    </row>
    <row r="147" spans="1:12" x14ac:dyDescent="0.25">
      <c r="A147" t="s">
        <v>1157</v>
      </c>
      <c r="B147" s="95">
        <v>1.044</v>
      </c>
      <c r="C147" s="95">
        <v>1.06</v>
      </c>
      <c r="D147" s="95">
        <v>1.01</v>
      </c>
      <c r="E147" s="95">
        <v>1.014</v>
      </c>
      <c r="F147" s="94">
        <v>0.04</v>
      </c>
      <c r="G147" s="94">
        <v>0.06</v>
      </c>
      <c r="H147" s="96">
        <v>17</v>
      </c>
      <c r="I147" s="96">
        <v>28</v>
      </c>
      <c r="J147">
        <v>9</v>
      </c>
      <c r="K147">
        <v>18</v>
      </c>
      <c r="L147">
        <v>2.2999999999999998</v>
      </c>
    </row>
    <row r="148" spans="1:12" x14ac:dyDescent="0.25">
      <c r="A148" t="s">
        <v>1158</v>
      </c>
      <c r="B148" s="95">
        <v>1.044</v>
      </c>
      <c r="C148" s="95">
        <v>1.05</v>
      </c>
      <c r="D148" s="95">
        <v>1.0069999999999999</v>
      </c>
      <c r="E148" s="95">
        <v>1.0109999999999999</v>
      </c>
      <c r="F148" s="94">
        <v>4.4000000000000004E-2</v>
      </c>
      <c r="G148" s="94">
        <v>5.2000000000000005E-2</v>
      </c>
      <c r="H148" s="96">
        <v>20</v>
      </c>
      <c r="I148" s="96">
        <v>30</v>
      </c>
      <c r="J148">
        <v>3.5</v>
      </c>
      <c r="K148">
        <v>5</v>
      </c>
      <c r="L148">
        <v>2.5</v>
      </c>
    </row>
    <row r="149" spans="1:12" x14ac:dyDescent="0.25">
      <c r="A149" t="s">
        <v>1159</v>
      </c>
      <c r="B149" s="95">
        <v>1.028</v>
      </c>
      <c r="C149" s="95">
        <v>1.04</v>
      </c>
      <c r="D149" s="95">
        <v>0.998</v>
      </c>
      <c r="E149">
        <v>1.008</v>
      </c>
      <c r="F149" s="94">
        <v>2.8000000000000001E-2</v>
      </c>
      <c r="G149" s="94">
        <v>4.2000000000000003E-2</v>
      </c>
      <c r="H149" s="96">
        <v>8</v>
      </c>
      <c r="I149" s="96">
        <v>12</v>
      </c>
      <c r="J149">
        <v>2</v>
      </c>
      <c r="K149">
        <v>3</v>
      </c>
      <c r="L149">
        <v>2.7</v>
      </c>
    </row>
    <row r="150" spans="1:12" x14ac:dyDescent="0.25">
      <c r="A150" t="s">
        <v>1160</v>
      </c>
      <c r="B150" s="95">
        <v>1.0640000000000001</v>
      </c>
      <c r="C150" s="95">
        <v>1.0720000000000001</v>
      </c>
      <c r="D150" s="95">
        <v>1.0109999999999999</v>
      </c>
      <c r="E150" s="95">
        <v>1.018</v>
      </c>
      <c r="F150" s="94">
        <v>6.3E-2</v>
      </c>
      <c r="G150" s="94">
        <v>7.400000000000001E-2</v>
      </c>
      <c r="H150" s="96">
        <v>23</v>
      </c>
      <c r="I150" s="96">
        <v>35</v>
      </c>
      <c r="J150">
        <v>6</v>
      </c>
      <c r="K150">
        <v>11</v>
      </c>
      <c r="L150">
        <v>2.5</v>
      </c>
    </row>
    <row r="151" spans="1:12" x14ac:dyDescent="0.25">
      <c r="A151" t="s">
        <v>1161</v>
      </c>
      <c r="B151" s="95">
        <v>1.03</v>
      </c>
      <c r="C151" s="95">
        <v>1.038</v>
      </c>
      <c r="D151" s="95">
        <v>1.008</v>
      </c>
      <c r="E151" s="95">
        <v>1.0129999999999999</v>
      </c>
      <c r="F151" s="94">
        <v>2.7999999999999997E-2</v>
      </c>
      <c r="G151" s="94">
        <v>4.4999999999999998E-2</v>
      </c>
      <c r="H151" s="96">
        <v>10</v>
      </c>
      <c r="I151" s="96">
        <v>25</v>
      </c>
      <c r="J151">
        <v>12</v>
      </c>
      <c r="K151">
        <v>25</v>
      </c>
      <c r="L151">
        <v>1.5</v>
      </c>
    </row>
    <row r="152" spans="1:12" x14ac:dyDescent="0.25">
      <c r="A152" t="s">
        <v>1162</v>
      </c>
      <c r="B152" s="95">
        <v>1.048</v>
      </c>
      <c r="C152" s="95">
        <v>1.056</v>
      </c>
      <c r="D152" s="95">
        <v>1.01</v>
      </c>
      <c r="E152" s="95">
        <v>1.016</v>
      </c>
      <c r="F152" s="94">
        <v>4.4999999999999998E-2</v>
      </c>
      <c r="G152" s="94">
        <v>5.5999999999999994E-2</v>
      </c>
      <c r="H152" s="96">
        <v>18</v>
      </c>
      <c r="I152" s="96">
        <v>28</v>
      </c>
      <c r="J152">
        <v>14</v>
      </c>
      <c r="K152">
        <v>28</v>
      </c>
      <c r="L152">
        <v>2.2999999999999998</v>
      </c>
    </row>
    <row r="153" spans="1:12" x14ac:dyDescent="0.25">
      <c r="A153" t="s">
        <v>1163</v>
      </c>
      <c r="B153" s="95">
        <v>1.0449999999999999</v>
      </c>
      <c r="C153" s="95">
        <v>1.0509999999999999</v>
      </c>
      <c r="D153" s="95">
        <v>1.008</v>
      </c>
      <c r="E153">
        <v>1.012</v>
      </c>
      <c r="F153" s="94">
        <v>4.7E-2</v>
      </c>
      <c r="G153" s="94">
        <v>5.3999999999999999E-2</v>
      </c>
      <c r="H153" s="96">
        <v>16</v>
      </c>
      <c r="I153" s="96">
        <v>22</v>
      </c>
      <c r="J153">
        <v>3</v>
      </c>
      <c r="K153">
        <v>5</v>
      </c>
      <c r="L153">
        <v>2.2999999999999998</v>
      </c>
    </row>
    <row r="154" spans="1:12" x14ac:dyDescent="0.25">
      <c r="A154" t="s">
        <v>1164</v>
      </c>
      <c r="B154" s="95">
        <v>1.04</v>
      </c>
      <c r="C154" s="95">
        <v>1.052</v>
      </c>
      <c r="D154" s="95">
        <v>1.008</v>
      </c>
      <c r="E154" s="95">
        <v>1.0129999999999999</v>
      </c>
      <c r="F154" s="94">
        <v>4.2000000000000003E-2</v>
      </c>
      <c r="G154" s="94">
        <v>5.4000000000000006E-2</v>
      </c>
      <c r="H154" s="96">
        <v>20</v>
      </c>
      <c r="I154" s="96">
        <v>30</v>
      </c>
      <c r="J154">
        <v>12</v>
      </c>
      <c r="K154">
        <v>22</v>
      </c>
      <c r="L154">
        <v>1.5</v>
      </c>
    </row>
    <row r="155" spans="1:12" x14ac:dyDescent="0.25">
      <c r="A155" t="s">
        <v>1165</v>
      </c>
      <c r="B155" s="95">
        <v>1.046</v>
      </c>
      <c r="C155" s="95">
        <v>1.054</v>
      </c>
      <c r="D155" s="95">
        <v>1.01</v>
      </c>
      <c r="E155" s="95">
        <v>1.0149999999999999</v>
      </c>
      <c r="F155" s="94">
        <v>4.4999999999999998E-2</v>
      </c>
      <c r="G155" s="94">
        <v>5.2000000000000005E-2</v>
      </c>
      <c r="H155" s="96">
        <v>25</v>
      </c>
      <c r="I155" s="96">
        <v>40</v>
      </c>
      <c r="J155">
        <v>13</v>
      </c>
      <c r="K155">
        <v>19</v>
      </c>
      <c r="L155">
        <v>2.2999999999999998</v>
      </c>
    </row>
    <row r="156" spans="1:12" x14ac:dyDescent="0.25">
      <c r="A156" t="s">
        <v>1166</v>
      </c>
      <c r="B156" s="95">
        <v>1.048</v>
      </c>
      <c r="C156" s="95">
        <v>1.0649999999999999</v>
      </c>
      <c r="D156" s="95">
        <v>1.01</v>
      </c>
      <c r="E156" s="95">
        <v>1.018</v>
      </c>
      <c r="F156" s="94">
        <v>4.2000000000000003E-2</v>
      </c>
      <c r="G156" s="94">
        <v>5.9000000000000004E-2</v>
      </c>
      <c r="H156" s="96">
        <v>25</v>
      </c>
      <c r="I156" s="96">
        <v>40</v>
      </c>
      <c r="J156">
        <v>22</v>
      </c>
      <c r="K156">
        <v>40</v>
      </c>
      <c r="L156">
        <v>2.2999999999999998</v>
      </c>
    </row>
    <row r="157" spans="1:12" x14ac:dyDescent="0.25">
      <c r="A157" t="s">
        <v>1167</v>
      </c>
      <c r="B157" s="95">
        <v>1.05</v>
      </c>
      <c r="C157" s="95">
        <v>1.0569999999999999</v>
      </c>
      <c r="D157" s="95">
        <v>1.012</v>
      </c>
      <c r="E157" s="95">
        <v>1.016</v>
      </c>
      <c r="F157" s="94">
        <v>4.8000000000000001E-2</v>
      </c>
      <c r="G157" s="94">
        <v>5.7000000000000002E-2</v>
      </c>
      <c r="H157" s="96">
        <v>20</v>
      </c>
      <c r="I157" s="96">
        <v>28</v>
      </c>
      <c r="J157">
        <v>7</v>
      </c>
      <c r="K157">
        <v>14</v>
      </c>
      <c r="L157">
        <v>2.2999999999999998</v>
      </c>
    </row>
    <row r="158" spans="1:12" x14ac:dyDescent="0.25">
      <c r="A158" t="s">
        <v>1168</v>
      </c>
      <c r="B158" s="95">
        <v>1.06</v>
      </c>
      <c r="C158" s="95">
        <v>1.0900000000000001</v>
      </c>
      <c r="D158" s="95">
        <v>1.0149999999999999</v>
      </c>
      <c r="E158" s="95">
        <v>1.022</v>
      </c>
      <c r="F158" s="94">
        <v>0.06</v>
      </c>
      <c r="G158" s="94">
        <v>0.09</v>
      </c>
      <c r="H158" s="96">
        <v>30</v>
      </c>
      <c r="I158" s="96">
        <v>60</v>
      </c>
      <c r="J158">
        <v>10</v>
      </c>
      <c r="K158">
        <v>22</v>
      </c>
      <c r="L158">
        <v>2</v>
      </c>
    </row>
    <row r="159" spans="1:12" x14ac:dyDescent="0.25">
      <c r="A159" t="s">
        <v>1169</v>
      </c>
      <c r="B159" s="95">
        <v>1.046</v>
      </c>
      <c r="C159" s="95">
        <v>1.056</v>
      </c>
      <c r="D159" s="95">
        <v>1.008</v>
      </c>
      <c r="E159">
        <v>1.012</v>
      </c>
      <c r="F159" s="94">
        <v>4.5999999999999999E-2</v>
      </c>
      <c r="G159" s="94">
        <v>0.06</v>
      </c>
      <c r="H159" s="96">
        <v>15</v>
      </c>
      <c r="I159" s="96">
        <v>25</v>
      </c>
      <c r="J159">
        <v>2</v>
      </c>
      <c r="K159">
        <v>6</v>
      </c>
      <c r="L159">
        <v>2.7</v>
      </c>
    </row>
    <row r="160" spans="1:12" x14ac:dyDescent="0.25">
      <c r="A160" t="s">
        <v>1170</v>
      </c>
      <c r="B160" s="95">
        <v>1.048</v>
      </c>
      <c r="C160" s="95">
        <v>1.056</v>
      </c>
      <c r="D160" s="95">
        <v>1.012</v>
      </c>
      <c r="E160" s="95">
        <v>1.016</v>
      </c>
      <c r="F160" s="94">
        <v>4.8000000000000001E-2</v>
      </c>
      <c r="G160" s="94">
        <v>6.5000000000000002E-2</v>
      </c>
      <c r="H160" s="96">
        <v>25</v>
      </c>
      <c r="I160" s="96">
        <v>50</v>
      </c>
      <c r="J160">
        <v>22</v>
      </c>
      <c r="K160">
        <v>35</v>
      </c>
      <c r="L160">
        <v>2.2999999999999998</v>
      </c>
    </row>
    <row r="161" spans="1:12" x14ac:dyDescent="0.25">
      <c r="A161" t="s">
        <v>1171</v>
      </c>
      <c r="B161" s="95">
        <v>1.046</v>
      </c>
      <c r="C161" s="95">
        <v>1.056</v>
      </c>
      <c r="D161" s="95">
        <v>1.01</v>
      </c>
      <c r="E161">
        <v>1.014</v>
      </c>
      <c r="F161" s="94">
        <v>4.4999999999999998E-2</v>
      </c>
      <c r="G161" s="94">
        <v>0.06</v>
      </c>
      <c r="H161" s="96">
        <v>10</v>
      </c>
      <c r="I161" s="96">
        <v>20</v>
      </c>
      <c r="J161">
        <v>14</v>
      </c>
      <c r="K161">
        <v>19</v>
      </c>
      <c r="L161">
        <v>3</v>
      </c>
    </row>
    <row r="162" spans="1:12" x14ac:dyDescent="0.25">
      <c r="A162" t="s">
        <v>1172</v>
      </c>
      <c r="B162" s="95">
        <v>1.075</v>
      </c>
      <c r="C162" s="95">
        <v>1.115</v>
      </c>
      <c r="D162" s="95">
        <v>1.018</v>
      </c>
      <c r="E162" s="95">
        <v>1.03</v>
      </c>
      <c r="F162" s="94">
        <v>0.08</v>
      </c>
      <c r="G162" s="94">
        <v>0.12</v>
      </c>
      <c r="H162" s="96">
        <v>50</v>
      </c>
      <c r="I162" s="96">
        <v>90</v>
      </c>
      <c r="J162">
        <v>30</v>
      </c>
      <c r="K162">
        <v>40</v>
      </c>
      <c r="L162">
        <v>2.2999999999999998</v>
      </c>
    </row>
    <row r="163" spans="1:12" x14ac:dyDescent="0.25">
      <c r="A163" t="s">
        <v>1173</v>
      </c>
      <c r="B163" s="95">
        <v>1.048</v>
      </c>
      <c r="C163" s="95">
        <v>1.0649999999999999</v>
      </c>
      <c r="D163" s="95">
        <v>1.002</v>
      </c>
      <c r="E163" s="95">
        <v>1.012</v>
      </c>
      <c r="F163" s="94">
        <v>0.05</v>
      </c>
      <c r="G163" s="94">
        <v>7.0000000000000007E-2</v>
      </c>
      <c r="H163" s="96">
        <v>20</v>
      </c>
      <c r="I163" s="96">
        <v>35</v>
      </c>
      <c r="J163">
        <v>5</v>
      </c>
      <c r="K163">
        <v>14</v>
      </c>
      <c r="L163">
        <v>3.5</v>
      </c>
    </row>
    <row r="164" spans="1:12" x14ac:dyDescent="0.25">
      <c r="A164" t="s">
        <v>1174</v>
      </c>
      <c r="B164" s="95">
        <v>1.046</v>
      </c>
      <c r="C164" s="95">
        <v>1.052</v>
      </c>
      <c r="D164" s="95">
        <v>1.01</v>
      </c>
      <c r="E164" s="95">
        <v>1.016</v>
      </c>
      <c r="F164" s="94">
        <v>4.4000000000000004E-2</v>
      </c>
      <c r="G164" s="94">
        <v>5.4000000000000006E-2</v>
      </c>
      <c r="H164" s="96">
        <v>22</v>
      </c>
      <c r="I164" s="96">
        <v>32</v>
      </c>
      <c r="J164">
        <v>17</v>
      </c>
      <c r="K164">
        <v>30</v>
      </c>
      <c r="L164">
        <v>2.2999999999999998</v>
      </c>
    </row>
    <row r="165" spans="1:12" x14ac:dyDescent="0.25">
      <c r="A165" t="s">
        <v>1175</v>
      </c>
      <c r="B165" s="95">
        <v>1.04</v>
      </c>
      <c r="C165" s="95">
        <v>1.054</v>
      </c>
      <c r="D165" s="95">
        <v>1.01</v>
      </c>
      <c r="E165" s="95">
        <v>1.016</v>
      </c>
      <c r="F165" s="94">
        <v>3.9E-2</v>
      </c>
      <c r="G165" s="94">
        <v>0.05</v>
      </c>
      <c r="H165" s="96">
        <v>15</v>
      </c>
      <c r="I165" s="96">
        <v>30</v>
      </c>
      <c r="J165">
        <v>9</v>
      </c>
      <c r="K165">
        <v>17</v>
      </c>
      <c r="L165">
        <v>1.7</v>
      </c>
    </row>
    <row r="166" spans="1:12" x14ac:dyDescent="0.25">
      <c r="A166" t="s">
        <v>1176</v>
      </c>
      <c r="B166" s="95">
        <v>1.0349999999999999</v>
      </c>
      <c r="C166" s="95">
        <v>1.04</v>
      </c>
      <c r="D166" s="95">
        <v>1.01</v>
      </c>
      <c r="E166" s="95">
        <v>1.0149999999999999</v>
      </c>
      <c r="F166" s="94">
        <v>3.2000000000000001E-2</v>
      </c>
      <c r="G166" s="94">
        <v>3.9E-2</v>
      </c>
      <c r="H166" s="96">
        <v>10</v>
      </c>
      <c r="I166" s="96">
        <v>25</v>
      </c>
      <c r="J166">
        <v>9</v>
      </c>
      <c r="K166">
        <v>17</v>
      </c>
      <c r="L166">
        <v>1.7</v>
      </c>
    </row>
    <row r="167" spans="1:12" x14ac:dyDescent="0.25">
      <c r="A167" t="s">
        <v>1177</v>
      </c>
      <c r="B167" s="95">
        <v>1.03</v>
      </c>
      <c r="C167" s="95">
        <v>1.0349999999999999</v>
      </c>
      <c r="D167" s="95">
        <v>1.01</v>
      </c>
      <c r="E167" s="95">
        <v>1.0129999999999999</v>
      </c>
      <c r="F167" s="94">
        <v>2.5000000000000001E-2</v>
      </c>
      <c r="G167" s="94">
        <v>3.2000000000000001E-2</v>
      </c>
      <c r="H167" s="96">
        <v>10</v>
      </c>
      <c r="I167" s="96">
        <v>20</v>
      </c>
      <c r="J167">
        <v>9</v>
      </c>
      <c r="K167">
        <v>17</v>
      </c>
      <c r="L167">
        <v>1.7</v>
      </c>
    </row>
    <row r="168" spans="1:12" x14ac:dyDescent="0.25">
      <c r="A168" t="s">
        <v>1178</v>
      </c>
      <c r="B168" s="95">
        <v>1.0329999999999999</v>
      </c>
      <c r="C168" s="95">
        <v>1.042</v>
      </c>
      <c r="D168" s="95">
        <v>1.0109999999999999</v>
      </c>
      <c r="E168" s="95">
        <v>1.014</v>
      </c>
      <c r="F168" s="94">
        <v>2.7999999999999997E-2</v>
      </c>
      <c r="G168" s="94">
        <v>4.0999999999999995E-2</v>
      </c>
      <c r="H168" s="96">
        <v>12</v>
      </c>
      <c r="I168" s="96">
        <v>20</v>
      </c>
      <c r="J168">
        <v>19</v>
      </c>
      <c r="K168">
        <v>35</v>
      </c>
      <c r="L168">
        <v>1.5</v>
      </c>
    </row>
    <row r="169" spans="1:12" x14ac:dyDescent="0.25">
      <c r="A169" t="s">
        <v>1179</v>
      </c>
      <c r="B169" s="95">
        <v>1.04</v>
      </c>
      <c r="C169" s="95">
        <v>1.048</v>
      </c>
      <c r="D169" s="95">
        <v>1.008</v>
      </c>
      <c r="E169" s="95">
        <v>1.012</v>
      </c>
      <c r="F169" s="94">
        <v>3.7999999999999999E-2</v>
      </c>
      <c r="G169" s="94">
        <v>4.5999999999999999E-2</v>
      </c>
      <c r="H169" s="96">
        <v>25</v>
      </c>
      <c r="I169" s="96">
        <v>40</v>
      </c>
      <c r="J169">
        <v>5</v>
      </c>
      <c r="K169">
        <v>16</v>
      </c>
      <c r="L169">
        <v>1.7</v>
      </c>
    </row>
    <row r="170" spans="1:12" x14ac:dyDescent="0.25">
      <c r="A170" t="s">
        <v>1180</v>
      </c>
      <c r="B170" s="95">
        <v>1.04</v>
      </c>
      <c r="C170" s="95">
        <v>1.05</v>
      </c>
      <c r="D170" s="95">
        <v>1.004</v>
      </c>
      <c r="E170">
        <v>1.01</v>
      </c>
      <c r="F170" s="94">
        <v>4.2000000000000003E-2</v>
      </c>
      <c r="G170" s="94">
        <v>5.2999999999999999E-2</v>
      </c>
      <c r="H170" s="96">
        <v>8</v>
      </c>
      <c r="I170" s="96">
        <v>15</v>
      </c>
      <c r="J170">
        <v>2</v>
      </c>
      <c r="K170">
        <v>4</v>
      </c>
      <c r="L170">
        <v>2.7</v>
      </c>
    </row>
    <row r="171" spans="1:12" x14ac:dyDescent="0.25">
      <c r="A171" t="s">
        <v>1181</v>
      </c>
      <c r="B171" s="95">
        <v>1.032</v>
      </c>
      <c r="C171" s="95">
        <v>1.04</v>
      </c>
      <c r="D171" s="95">
        <v>1.0069999999999999</v>
      </c>
      <c r="E171" s="95">
        <v>1.0109999999999999</v>
      </c>
      <c r="F171" s="94">
        <v>3.2000000000000001E-2</v>
      </c>
      <c r="G171" s="94">
        <v>3.7999999999999999E-2</v>
      </c>
      <c r="H171" s="96">
        <v>25</v>
      </c>
      <c r="I171" s="96">
        <v>35</v>
      </c>
      <c r="J171">
        <v>4</v>
      </c>
      <c r="K171">
        <v>14</v>
      </c>
      <c r="L171">
        <v>1.5</v>
      </c>
    </row>
    <row r="172" spans="1:12" x14ac:dyDescent="0.25">
      <c r="A172" t="s">
        <v>1182</v>
      </c>
      <c r="B172" s="95">
        <v>1.04</v>
      </c>
      <c r="C172" s="95">
        <v>1.054</v>
      </c>
      <c r="D172" s="95">
        <v>1.0009999999999999</v>
      </c>
      <c r="E172" s="95">
        <v>1.01</v>
      </c>
      <c r="F172" s="94">
        <v>0.05</v>
      </c>
      <c r="G172" s="94">
        <v>6.5000000000000002E-2</v>
      </c>
      <c r="H172" s="96">
        <v>0</v>
      </c>
      <c r="I172" s="96">
        <v>10</v>
      </c>
      <c r="J172">
        <v>3</v>
      </c>
      <c r="K172">
        <v>7</v>
      </c>
      <c r="L172">
        <v>1.5</v>
      </c>
    </row>
    <row r="173" spans="1:12" x14ac:dyDescent="0.25">
      <c r="A173" t="s">
        <v>1183</v>
      </c>
      <c r="B173" s="95">
        <v>1.07</v>
      </c>
      <c r="C173" s="95">
        <v>1.1299999999999999</v>
      </c>
      <c r="D173" s="95">
        <v>1.018</v>
      </c>
      <c r="E173" s="95">
        <v>1.056</v>
      </c>
      <c r="F173" s="94">
        <v>6.5000000000000002E-2</v>
      </c>
      <c r="G173" s="94">
        <v>0.1</v>
      </c>
      <c r="H173" s="96">
        <v>17</v>
      </c>
      <c r="I173" s="96">
        <v>35</v>
      </c>
      <c r="J173">
        <v>14</v>
      </c>
      <c r="K173">
        <v>25</v>
      </c>
      <c r="L173">
        <v>2.2999999999999998</v>
      </c>
    </row>
    <row r="174" spans="1:12" x14ac:dyDescent="0.25">
      <c r="A174" t="s">
        <v>1184</v>
      </c>
      <c r="B174" s="95">
        <v>1.044</v>
      </c>
      <c r="C174" s="95">
        <v>1.06</v>
      </c>
      <c r="D174" s="95">
        <v>1.012</v>
      </c>
      <c r="E174" s="95">
        <v>1.024</v>
      </c>
      <c r="F174" s="94">
        <v>0.04</v>
      </c>
      <c r="G174" s="94">
        <v>0.06</v>
      </c>
      <c r="H174" s="96">
        <v>20</v>
      </c>
      <c r="I174" s="96">
        <v>40</v>
      </c>
      <c r="J174">
        <v>30</v>
      </c>
      <c r="K174">
        <v>40</v>
      </c>
      <c r="L174">
        <v>1.8</v>
      </c>
    </row>
    <row r="175" spans="1:12" x14ac:dyDescent="0.25">
      <c r="A175" t="s">
        <v>1185</v>
      </c>
      <c r="B175" s="95">
        <v>1.0640000000000001</v>
      </c>
      <c r="C175" s="95">
        <v>1.0720000000000001</v>
      </c>
      <c r="D175" s="95">
        <v>1.0129999999999999</v>
      </c>
      <c r="E175" s="95">
        <v>1.0189999999999999</v>
      </c>
      <c r="F175" s="94">
        <v>6.3E-2</v>
      </c>
      <c r="G175" s="94">
        <v>7.2000000000000008E-2</v>
      </c>
      <c r="H175" s="96">
        <v>20</v>
      </c>
      <c r="I175" s="96">
        <v>27</v>
      </c>
      <c r="J175">
        <v>14</v>
      </c>
      <c r="K175">
        <v>22</v>
      </c>
      <c r="L175">
        <v>2.5</v>
      </c>
    </row>
    <row r="176" spans="1:12" x14ac:dyDescent="0.25">
      <c r="A176" t="s">
        <v>1186</v>
      </c>
      <c r="B176" s="95">
        <v>1.046</v>
      </c>
      <c r="C176" s="95">
        <v>1.052</v>
      </c>
      <c r="D176" s="95">
        <v>1.01</v>
      </c>
      <c r="E176" s="95">
        <v>1.014</v>
      </c>
      <c r="F176" s="94">
        <v>4.4999999999999998E-2</v>
      </c>
      <c r="G176" s="94">
        <v>5.5E-2</v>
      </c>
      <c r="H176" s="96">
        <v>18</v>
      </c>
      <c r="I176" s="96">
        <v>30</v>
      </c>
      <c r="J176">
        <v>10</v>
      </c>
      <c r="K176">
        <v>16</v>
      </c>
      <c r="L176">
        <v>2.2999999999999998</v>
      </c>
    </row>
    <row r="177" spans="1:12" x14ac:dyDescent="0.25">
      <c r="A177" t="s">
        <v>1187</v>
      </c>
      <c r="B177" s="95">
        <v>1.044</v>
      </c>
      <c r="C177" s="95">
        <v>1.052</v>
      </c>
      <c r="D177" s="95">
        <v>1.01</v>
      </c>
      <c r="E177" s="95">
        <v>1.014</v>
      </c>
      <c r="F177" s="94">
        <v>4.2999999999999997E-2</v>
      </c>
      <c r="G177" s="94">
        <v>5.5999999999999994E-2</v>
      </c>
      <c r="H177" s="96">
        <v>8</v>
      </c>
      <c r="I177" s="96">
        <v>15</v>
      </c>
      <c r="J177">
        <v>2</v>
      </c>
      <c r="K177">
        <v>8</v>
      </c>
      <c r="L177">
        <v>3</v>
      </c>
    </row>
    <row r="178" spans="1:12" x14ac:dyDescent="0.25">
      <c r="A178" t="s">
        <v>1188</v>
      </c>
      <c r="B178" s="95">
        <v>1.0640000000000001</v>
      </c>
      <c r="C178" s="95">
        <v>1.0900000000000001</v>
      </c>
      <c r="D178" s="95">
        <v>1.0149999999999999</v>
      </c>
      <c r="E178" s="95">
        <v>1.022</v>
      </c>
      <c r="F178" s="94">
        <v>6.5000000000000002E-2</v>
      </c>
      <c r="G178" s="94">
        <v>0.08</v>
      </c>
      <c r="H178" s="96">
        <v>15</v>
      </c>
      <c r="I178" s="96">
        <v>30</v>
      </c>
      <c r="J178">
        <v>12</v>
      </c>
      <c r="K178">
        <v>25</v>
      </c>
      <c r="L178">
        <v>3</v>
      </c>
    </row>
    <row r="179" spans="1:12" x14ac:dyDescent="0.25">
      <c r="A179" t="s">
        <v>1189</v>
      </c>
      <c r="B179" s="95">
        <v>1.044</v>
      </c>
      <c r="C179" s="95">
        <v>1.052</v>
      </c>
      <c r="D179" s="95">
        <v>1.008</v>
      </c>
      <c r="E179" s="95">
        <v>1.012</v>
      </c>
      <c r="F179" s="94">
        <v>4.4999999999999998E-2</v>
      </c>
      <c r="G179" s="94">
        <v>5.5E-2</v>
      </c>
      <c r="H179" s="96">
        <v>10</v>
      </c>
      <c r="I179" s="96">
        <v>20</v>
      </c>
      <c r="J179">
        <v>2</v>
      </c>
      <c r="K179">
        <v>4</v>
      </c>
      <c r="L179">
        <v>2.2999999999999998</v>
      </c>
    </row>
  </sheetData>
  <sheetProtection password="CB17" sheet="1"/>
  <pageMargins left="0.7" right="0.7" top="0.75" bottom="0.75" header="0.3" footer="0.3"/>
  <pageSetup orientation="portrait" horizontalDpi="0" verticalDpi="0"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dimension ref="A1:N73"/>
  <sheetViews>
    <sheetView workbookViewId="0">
      <selection activeCell="D23" sqref="D23"/>
    </sheetView>
  </sheetViews>
  <sheetFormatPr defaultRowHeight="15" x14ac:dyDescent="0.25"/>
  <cols>
    <col min="2" max="2" width="27" bestFit="1" customWidth="1"/>
  </cols>
  <sheetData>
    <row r="1" spans="1:14" x14ac:dyDescent="0.25">
      <c r="C1" s="126"/>
      <c r="D1" s="126"/>
      <c r="E1" s="126"/>
      <c r="F1" s="128"/>
      <c r="G1" s="129"/>
      <c r="H1" s="128"/>
      <c r="L1" s="126"/>
    </row>
    <row r="2" spans="1:14" ht="21" x14ac:dyDescent="0.35">
      <c r="B2" s="810" t="s">
        <v>378</v>
      </c>
      <c r="C2" s="126"/>
      <c r="D2" s="126"/>
      <c r="E2" s="130"/>
      <c r="F2" s="128"/>
      <c r="G2" s="129"/>
      <c r="H2" s="128"/>
      <c r="L2" s="126"/>
    </row>
    <row r="3" spans="1:14" x14ac:dyDescent="0.25">
      <c r="B3" s="811"/>
      <c r="C3" s="186" t="s">
        <v>457</v>
      </c>
      <c r="D3" s="186"/>
      <c r="E3" s="186"/>
      <c r="F3" s="128"/>
      <c r="G3" s="129"/>
      <c r="H3" s="128"/>
      <c r="L3" s="126"/>
    </row>
    <row r="4" spans="1:14" x14ac:dyDescent="0.25">
      <c r="A4" s="126"/>
      <c r="B4" s="131" t="s">
        <v>54</v>
      </c>
      <c r="C4" s="131" t="s">
        <v>379</v>
      </c>
      <c r="D4" s="131" t="s">
        <v>353</v>
      </c>
      <c r="E4" s="131" t="s">
        <v>380</v>
      </c>
      <c r="F4" s="132" t="s">
        <v>381</v>
      </c>
      <c r="G4" s="133" t="s">
        <v>382</v>
      </c>
      <c r="H4" s="132" t="s">
        <v>383</v>
      </c>
      <c r="I4" s="126"/>
      <c r="J4" s="812" t="s">
        <v>384</v>
      </c>
      <c r="K4" s="813"/>
      <c r="L4" s="813"/>
      <c r="M4" s="813"/>
      <c r="N4" s="814"/>
    </row>
    <row r="5" spans="1:14" x14ac:dyDescent="0.25">
      <c r="A5" s="126"/>
      <c r="B5" s="134"/>
      <c r="C5" s="134" t="s">
        <v>385</v>
      </c>
      <c r="D5" s="134" t="s">
        <v>386</v>
      </c>
      <c r="E5" s="134" t="s">
        <v>387</v>
      </c>
      <c r="F5" s="135" t="s">
        <v>388</v>
      </c>
      <c r="G5" s="136" t="s">
        <v>389</v>
      </c>
      <c r="H5" s="135" t="s">
        <v>389</v>
      </c>
      <c r="I5" s="126"/>
      <c r="J5" s="815"/>
      <c r="K5" s="816"/>
      <c r="L5" s="816"/>
      <c r="M5" s="816"/>
      <c r="N5" s="817"/>
    </row>
    <row r="6" spans="1:14" ht="15.75" x14ac:dyDescent="0.25">
      <c r="B6" s="137" t="str">
        <f>IF(Recipe!D13&lt;&gt;0, Recipe!D13, "")</f>
        <v>Pale Ale Malt, Briess</v>
      </c>
      <c r="C6" s="138">
        <f>IF(B6&lt;&gt;"",VLOOKUP(B6,GRAINLOOKUP!$A$2:$F$200,6,0),0)</f>
        <v>3.5</v>
      </c>
      <c r="D6" s="138" t="str">
        <f>IF(B6&lt;&gt;"",VLOOKUP(B6,GRAINLOOKUP!$A$2:$H$200,8,0),0)</f>
        <v>B</v>
      </c>
      <c r="E6" s="139">
        <f>IF(Brewhouse!V17="Metric",    IF(B6="", 0, IF(VLOOKUP(B6,GRAINLOOKUP!$A$2:$C$200,3,0)="y", Recipe!B13*2.20462262, 0)), IF(B6="", 0, IF(VLOOKUP(B6,GRAINLOOKUP!$A$2:$C$200,3,0)="y", Recipe!B13, 0)))</f>
        <v>10</v>
      </c>
      <c r="F6" s="140">
        <f>E6/$E$20</f>
        <v>0.79746088454361308</v>
      </c>
      <c r="G6" s="141">
        <f>IF(D6="B",-1.9+1*C6,IF(D6="C",5+0.453*C6,IF(D6="R",42,IF(D6="W",-9.6,0))))</f>
        <v>1.6</v>
      </c>
      <c r="H6" s="140">
        <f>F6*G6</f>
        <v>1.2759374152697811</v>
      </c>
      <c r="J6" s="815"/>
      <c r="K6" s="816"/>
      <c r="L6" s="816"/>
      <c r="M6" s="816"/>
      <c r="N6" s="817"/>
    </row>
    <row r="7" spans="1:14" ht="15.75" x14ac:dyDescent="0.25">
      <c r="B7" s="137" t="str">
        <f>IF(Recipe!D14&lt;&gt;0, Recipe!D14, "")</f>
        <v>Munich (9 srm)</v>
      </c>
      <c r="C7" s="138">
        <f>IF(B7&lt;&gt;"",VLOOKUP(B7,GRAINLOOKUP!$A$2:$F$200,6,0),0)</f>
        <v>9</v>
      </c>
      <c r="D7" s="138" t="str">
        <f>IF(B7&lt;&gt;"",VLOOKUP(B7,GRAINLOOKUP!$A$2:$H$200,8,0),0)</f>
        <v>B</v>
      </c>
      <c r="E7" s="139">
        <f>IF(Brewhouse!V17="Metric",    IF(B7="", 0, IF(VLOOKUP(B7,GRAINLOOKUP!$A$2:$C$200,3,0)="y", Recipe!B14*2.20462262, 0)), IF(B7="", 0, IF(VLOOKUP(B7,GRAINLOOKUP!$A$2:$C$200,3,0)="y", Recipe!B14, 0)))</f>
        <v>1.66</v>
      </c>
      <c r="F7" s="140">
        <f t="shared" ref="F7:F19" si="0">E7/$E$20</f>
        <v>0.13237850683423977</v>
      </c>
      <c r="G7" s="141">
        <f t="shared" ref="G7:G19" si="1">IF(D7="B",-1.9+1*C7,IF(D7="C",5+0.453*C7,IF(D7="R",42,IF(D7="W",-9.6,0))))</f>
        <v>7.1</v>
      </c>
      <c r="H7" s="140">
        <f t="shared" ref="H7:H19" si="2">F7*G7</f>
        <v>0.93988739852310232</v>
      </c>
      <c r="J7" s="815"/>
      <c r="K7" s="816"/>
      <c r="L7" s="816"/>
      <c r="M7" s="816"/>
      <c r="N7" s="817"/>
    </row>
    <row r="8" spans="1:14" ht="15.75" x14ac:dyDescent="0.25">
      <c r="B8" s="137" t="str">
        <f>IF(Recipe!D15&lt;&gt;0, Recipe!D15, "")</f>
        <v>British Dark Crystal 75/85L</v>
      </c>
      <c r="C8" s="138">
        <f>IF(B8&lt;&gt;"",VLOOKUP(B8,GRAINLOOKUP!$A$2:$F$200,6,0),0)</f>
        <v>80</v>
      </c>
      <c r="D8" s="138" t="str">
        <f>IF(B8&lt;&gt;"",VLOOKUP(B8,GRAINLOOKUP!$A$2:$H$200,8,0),0)</f>
        <v>C</v>
      </c>
      <c r="E8" s="139">
        <f>IF(Brewhouse!V17="Metric",    IF(B8="", 0, IF(VLOOKUP(B8,GRAINLOOKUP!$A$2:$C$200,3,0)="y", Recipe!B15*2.20462262, 0)), IF(B8="", 0, IF(VLOOKUP(B8,GRAINLOOKUP!$A$2:$C$200,3,0)="y", Recipe!B15, 0)))</f>
        <v>0.62249999999999994</v>
      </c>
      <c r="F8" s="140">
        <f t="shared" si="0"/>
        <v>4.9641940062839909E-2</v>
      </c>
      <c r="G8" s="141">
        <f t="shared" si="1"/>
        <v>41.24</v>
      </c>
      <c r="H8" s="140">
        <f t="shared" si="2"/>
        <v>2.0472336081915179</v>
      </c>
      <c r="J8" s="815"/>
      <c r="K8" s="816"/>
      <c r="L8" s="816"/>
      <c r="M8" s="816"/>
      <c r="N8" s="817"/>
    </row>
    <row r="9" spans="1:14" ht="15.75" x14ac:dyDescent="0.25">
      <c r="B9" s="137" t="str">
        <f>IF(Recipe!D16&lt;&gt;0, Recipe!D16, "")</f>
        <v>Chocolate (US, 350 SRM)</v>
      </c>
      <c r="C9" s="138">
        <f>IF(B9&lt;&gt;"",VLOOKUP(B9,GRAINLOOKUP!$A$2:$F$200,6,0),0)</f>
        <v>350</v>
      </c>
      <c r="D9" s="138" t="str">
        <f>IF(B9&lt;&gt;"",VLOOKUP(B9,GRAINLOOKUP!$A$2:$H$200,8,0),0)</f>
        <v>R</v>
      </c>
      <c r="E9" s="139">
        <f>IF(Brewhouse!V17="Metric",    IF(B9="", 0, IF(VLOOKUP(B9,GRAINLOOKUP!$A$2:$C$200,3,0)="y", Recipe!B16*2.20462262, 0)), IF(B9="", 0, IF(VLOOKUP(B9,GRAINLOOKUP!$A$2:$C$200,3,0)="y", Recipe!B16, 0)))</f>
        <v>0.25729999999999997</v>
      </c>
      <c r="F9" s="140">
        <f t="shared" si="0"/>
        <v>2.051866855930716E-2</v>
      </c>
      <c r="G9" s="141">
        <f t="shared" si="1"/>
        <v>42</v>
      </c>
      <c r="H9" s="140">
        <f t="shared" si="2"/>
        <v>0.86178407949090075</v>
      </c>
      <c r="J9" s="815"/>
      <c r="K9" s="816"/>
      <c r="L9" s="816"/>
      <c r="M9" s="816"/>
      <c r="N9" s="817"/>
    </row>
    <row r="10" spans="1:14" ht="15.75" x14ac:dyDescent="0.25">
      <c r="B10" s="137" t="str">
        <f>IF(Recipe!D17&lt;&gt;0, Recipe!D17, "")</f>
        <v>---Select Grain/Fermentable---</v>
      </c>
      <c r="C10" s="138">
        <f>IF(B10&lt;&gt;"",VLOOKUP(B10,GRAINLOOKUP!$A$2:$F$200,6,0),0)</f>
        <v>0</v>
      </c>
      <c r="D10" s="138">
        <f>IF(B10&lt;&gt;"",VLOOKUP(B10,GRAINLOOKUP!$A$2:$H$200,8,0),0)</f>
        <v>0</v>
      </c>
      <c r="E10" s="139">
        <f>IF(Brewhouse!V17="Metric",    IF(B10="", 0, IF(VLOOKUP(B10,GRAINLOOKUP!$A$2:$C$200,3,0)="y", Recipe!B17*2.20462262, 0)), IF(B10="", 0, IF(VLOOKUP(B10,GRAINLOOKUP!$A$2:$C$200,3,0)="y", Recipe!B17, 0)))</f>
        <v>0</v>
      </c>
      <c r="F10" s="140">
        <f t="shared" si="0"/>
        <v>0</v>
      </c>
      <c r="G10" s="141">
        <f t="shared" si="1"/>
        <v>0</v>
      </c>
      <c r="H10" s="140">
        <f t="shared" si="2"/>
        <v>0</v>
      </c>
      <c r="J10" s="815"/>
      <c r="K10" s="816"/>
      <c r="L10" s="816"/>
      <c r="M10" s="816"/>
      <c r="N10" s="817"/>
    </row>
    <row r="11" spans="1:14" ht="15.75" x14ac:dyDescent="0.25">
      <c r="B11" s="137" t="str">
        <f>IF(Recipe!D18&lt;&gt;0, Recipe!D18, "")</f>
        <v>---Select Grain/Fermentable---</v>
      </c>
      <c r="C11" s="138">
        <f>IF(B11&lt;&gt;"",VLOOKUP(B11,GRAINLOOKUP!$A$2:$F$200,6,0),0)</f>
        <v>0</v>
      </c>
      <c r="D11" s="138">
        <f>IF(B11&lt;&gt;"",VLOOKUP(B11,GRAINLOOKUP!$A$2:$H$200,8,0),0)</f>
        <v>0</v>
      </c>
      <c r="E11" s="139">
        <f>IF(Brewhouse!V17="Metric",    IF(B11="", 0, IF(VLOOKUP(B11,GRAINLOOKUP!$A$2:$C$200,3,0)="y", Recipe!B18*2.20462262, 0)), IF(B11="", 0, IF(VLOOKUP(B11,GRAINLOOKUP!$A$2:$C$200,3,0)="y", Recipe!B18, 0)))</f>
        <v>0</v>
      </c>
      <c r="F11" s="140">
        <f t="shared" si="0"/>
        <v>0</v>
      </c>
      <c r="G11" s="141">
        <f t="shared" si="1"/>
        <v>0</v>
      </c>
      <c r="H11" s="140">
        <f t="shared" si="2"/>
        <v>0</v>
      </c>
      <c r="J11" s="815"/>
      <c r="K11" s="816"/>
      <c r="L11" s="816"/>
      <c r="M11" s="816"/>
      <c r="N11" s="817"/>
    </row>
    <row r="12" spans="1:14" ht="15.75" x14ac:dyDescent="0.25">
      <c r="B12" s="137" t="str">
        <f>IF(Recipe!D19&lt;&gt;0, Recipe!D19, "")</f>
        <v>---Select Grain/Fermentable---</v>
      </c>
      <c r="C12" s="138">
        <f>IF(B12&lt;&gt;"",VLOOKUP(B12,GRAINLOOKUP!$A$2:$F$200,6,0),0)</f>
        <v>0</v>
      </c>
      <c r="D12" s="138">
        <f>IF(B12&lt;&gt;"",VLOOKUP(B12,GRAINLOOKUP!$A$2:$H$200,8,0),0)</f>
        <v>0</v>
      </c>
      <c r="E12" s="139">
        <f>IF(Brewhouse!V17="Metric",    IF(B12="", 0, IF(VLOOKUP(B12,GRAINLOOKUP!$A$2:$C$200,3,0)="y", Recipe!B19*2.20462262, 0)), IF(B12="", 0, IF(VLOOKUP(B12,GRAINLOOKUP!$A$2:$C$200,3,0)="y", Recipe!B19, 0)))</f>
        <v>0</v>
      </c>
      <c r="F12" s="140">
        <f t="shared" si="0"/>
        <v>0</v>
      </c>
      <c r="G12" s="141">
        <f t="shared" si="1"/>
        <v>0</v>
      </c>
      <c r="H12" s="140">
        <f t="shared" si="2"/>
        <v>0</v>
      </c>
      <c r="J12" s="818"/>
      <c r="K12" s="819"/>
      <c r="L12" s="819"/>
      <c r="M12" s="819"/>
      <c r="N12" s="820"/>
    </row>
    <row r="13" spans="1:14" ht="15.75" x14ac:dyDescent="0.25">
      <c r="A13" t="s">
        <v>458</v>
      </c>
      <c r="B13" s="137" t="str">
        <f>IF(Recipe!D20&lt;&gt;0, Recipe!D20, "")</f>
        <v>---Select Grain/Fermentable---</v>
      </c>
      <c r="C13" s="138">
        <f>IF(B13&lt;&gt;"",VLOOKUP(B13,GRAINLOOKUP!$A$2:$F$200,6,0),0)</f>
        <v>0</v>
      </c>
      <c r="D13" s="138">
        <f>IF(B13&lt;&gt;"",VLOOKUP(B13,GRAINLOOKUP!$A$2:$H$200,8,0),0)</f>
        <v>0</v>
      </c>
      <c r="E13" s="139">
        <f>IF(Brewhouse!V17="Metric",    IF(B13="", 0, IF(VLOOKUP(B13,GRAINLOOKUP!$A$2:$C$200,3,0)="y", Recipe!B20*2.20462262, 0)), IF(B13="", 0, IF(VLOOKUP(B13,GRAINLOOKUP!$A$2:$C$200,3,0)="y", Recipe!B20, 0)))</f>
        <v>0</v>
      </c>
      <c r="F13" s="140">
        <f t="shared" si="0"/>
        <v>0</v>
      </c>
      <c r="G13" s="141">
        <f t="shared" si="1"/>
        <v>0</v>
      </c>
      <c r="H13" s="140">
        <f t="shared" si="2"/>
        <v>0</v>
      </c>
      <c r="J13" s="821"/>
      <c r="K13" s="821"/>
      <c r="L13" s="821"/>
      <c r="M13" s="821"/>
      <c r="N13" s="821"/>
    </row>
    <row r="14" spans="1:14" ht="15.75" x14ac:dyDescent="0.25">
      <c r="A14" t="s">
        <v>458</v>
      </c>
      <c r="B14" s="137" t="str">
        <f>IF(Recipe!D21&lt;&gt;0, Recipe!D21, "")</f>
        <v>---Select Grain/Fermentable---</v>
      </c>
      <c r="C14" s="138">
        <f>IF(B14&lt;&gt;"",VLOOKUP(B14,GRAINLOOKUP!$A$2:$F$200,6,0),0)</f>
        <v>0</v>
      </c>
      <c r="D14" s="138">
        <f>IF(B14&lt;&gt;"",VLOOKUP(B14,GRAINLOOKUP!$A$2:$H$200,8,0),0)</f>
        <v>0</v>
      </c>
      <c r="E14" s="139">
        <f>IF(Brewhouse!V17="Metric",    IF(B14="", 0, IF(VLOOKUP(B14,GRAINLOOKUP!$A$2:$C$200,3,0)="y", Recipe!B21*2.20462262, 0)), IF(B14="", 0, IF(VLOOKUP(B14,GRAINLOOKUP!$A$2:$C$200,3,0)="y", Recipe!B21, 0)))</f>
        <v>0</v>
      </c>
      <c r="F14" s="140">
        <f t="shared" si="0"/>
        <v>0</v>
      </c>
      <c r="G14" s="141">
        <f t="shared" si="1"/>
        <v>0</v>
      </c>
      <c r="H14" s="140">
        <f t="shared" si="2"/>
        <v>0</v>
      </c>
      <c r="J14" s="142"/>
      <c r="K14" s="142"/>
      <c r="L14" s="142"/>
      <c r="M14" s="142"/>
      <c r="N14" s="142"/>
    </row>
    <row r="15" spans="1:14" ht="15.75" x14ac:dyDescent="0.25">
      <c r="B15" s="137" t="str">
        <f>IF(Recipe!D22&lt;&gt;0, Recipe!D22, "")</f>
        <v>---Select Grain/Fermentable---</v>
      </c>
      <c r="C15" s="138">
        <f>IF(B15&lt;&gt;"",VLOOKUP(B15,GRAINLOOKUP!$A$2:$F$200,6,0),0)</f>
        <v>0</v>
      </c>
      <c r="D15" s="138">
        <f>IF(B15&lt;&gt;"",VLOOKUP(B15,GRAINLOOKUP!$A$2:$H$200,8,0),0)</f>
        <v>0</v>
      </c>
      <c r="E15" s="139">
        <f>IF(Brewhouse!V17="Metric",    IF(B15="", 0, IF(VLOOKUP(B15,GRAINLOOKUP!$A$2:$C$200,3,0)="y", Recipe!B22*2.20462262, 0)), IF(B15="", 0, IF(VLOOKUP(B15,GRAINLOOKUP!$A$2:$C$200,3,0)="y", Recipe!B22, 0)))</f>
        <v>0</v>
      </c>
      <c r="F15" s="140">
        <f t="shared" si="0"/>
        <v>0</v>
      </c>
      <c r="G15" s="141">
        <f t="shared" si="1"/>
        <v>0</v>
      </c>
      <c r="H15" s="140">
        <f t="shared" si="2"/>
        <v>0</v>
      </c>
      <c r="J15" s="142"/>
      <c r="K15" s="142"/>
      <c r="L15" s="142"/>
      <c r="M15" s="142"/>
      <c r="N15" s="142"/>
    </row>
    <row r="16" spans="1:14" ht="15.75" x14ac:dyDescent="0.25">
      <c r="B16" s="137" t="str">
        <f>IF(Recipe!D23&lt;&gt;0, Recipe!D23, "")</f>
        <v>---Select Grain/Fermentable---</v>
      </c>
      <c r="C16" s="138">
        <f>IF(B16&lt;&gt;"",VLOOKUP(B16,GRAINLOOKUP!$A$2:$F$200,6,0),0)</f>
        <v>0</v>
      </c>
      <c r="D16" s="138">
        <f>IF(B16&lt;&gt;"",VLOOKUP(B16,GRAINLOOKUP!$A$2:$H$200,8,0),0)</f>
        <v>0</v>
      </c>
      <c r="E16" s="139">
        <f>IF(Brewhouse!V17="Metric",    IF(B16="", 0, IF(VLOOKUP(B16,GRAINLOOKUP!$A$2:$C$200,3,0)="y", Recipe!B23*2.20462262, 0)), IF(B16="", 0, IF(VLOOKUP(B16,GRAINLOOKUP!$A$2:$C$200,3,0)="y", Recipe!B23, 0)))</f>
        <v>0</v>
      </c>
      <c r="F16" s="140">
        <f t="shared" si="0"/>
        <v>0</v>
      </c>
      <c r="G16" s="141">
        <f t="shared" si="1"/>
        <v>0</v>
      </c>
      <c r="H16" s="140">
        <f t="shared" si="2"/>
        <v>0</v>
      </c>
      <c r="J16" s="142"/>
      <c r="K16" s="142"/>
      <c r="L16" s="142"/>
      <c r="M16" s="142"/>
      <c r="N16" s="142"/>
    </row>
    <row r="17" spans="1:14" ht="15.75" x14ac:dyDescent="0.25">
      <c r="B17" s="137" t="str">
        <f>IF(Recipe!D24&lt;&gt;0, Recipe!D24, "")</f>
        <v>---Select Grain/Fermentable---</v>
      </c>
      <c r="C17" s="138">
        <f>IF(B17&lt;&gt;"",VLOOKUP(B17,GRAINLOOKUP!$A$2:$F$200,6,0),0)</f>
        <v>0</v>
      </c>
      <c r="D17" s="138">
        <f>IF(B17&lt;&gt;"",VLOOKUP(B17,GRAINLOOKUP!$A$2:$H$200,8,0),0)</f>
        <v>0</v>
      </c>
      <c r="E17" s="139">
        <f>IF(Brewhouse!V17="Metric",    IF(B17="", 0, IF(VLOOKUP(B17,GRAINLOOKUP!$A$2:$C$200,3,0)="y", Recipe!B24*2.20462262, 0)), IF(B17="", 0, IF(VLOOKUP(B17,GRAINLOOKUP!$A$2:$C$200,3,0)="y", Recipe!B24, 0)))</f>
        <v>0</v>
      </c>
      <c r="F17" s="140">
        <f t="shared" si="0"/>
        <v>0</v>
      </c>
      <c r="G17" s="141">
        <f t="shared" si="1"/>
        <v>0</v>
      </c>
      <c r="H17" s="140">
        <f t="shared" si="2"/>
        <v>0</v>
      </c>
      <c r="J17" s="142"/>
      <c r="K17" s="142"/>
      <c r="L17" s="142"/>
      <c r="M17" s="142"/>
      <c r="N17" s="142"/>
    </row>
    <row r="18" spans="1:14" ht="15.75" x14ac:dyDescent="0.25">
      <c r="B18" s="137" t="str">
        <f>IF(Recipe!D25&lt;&gt;0, Recipe!D25, "")</f>
        <v>---Select Grain/Fermentable---</v>
      </c>
      <c r="C18" s="138">
        <f>IF(B18&lt;&gt;"",VLOOKUP(B18,GRAINLOOKUP!$A$2:$F$200,6,0),0)</f>
        <v>0</v>
      </c>
      <c r="D18" s="138">
        <f>IF(B18&lt;&gt;"",VLOOKUP(B18,GRAINLOOKUP!$A$2:$H$200,8,0),0)</f>
        <v>0</v>
      </c>
      <c r="E18" s="139">
        <f>IF(Brewhouse!V17="Metric",    IF(B18="", 0, IF(VLOOKUP(B18,GRAINLOOKUP!$A$2:$C$200,3,0)="y", Recipe!B25*2.20462262, 0)), IF(B18="", 0, IF(VLOOKUP(B18,GRAINLOOKUP!$A$2:$C$200,3,0)="y", Recipe!B25, 0)))</f>
        <v>0</v>
      </c>
      <c r="F18" s="140">
        <f t="shared" si="0"/>
        <v>0</v>
      </c>
      <c r="G18" s="141">
        <f t="shared" si="1"/>
        <v>0</v>
      </c>
      <c r="H18" s="140">
        <f t="shared" si="2"/>
        <v>0</v>
      </c>
      <c r="J18" s="812" t="s">
        <v>393</v>
      </c>
      <c r="K18" s="813"/>
      <c r="L18" s="813"/>
      <c r="M18" s="813"/>
      <c r="N18" s="814"/>
    </row>
    <row r="19" spans="1:14" ht="15.75" x14ac:dyDescent="0.25">
      <c r="B19" s="137" t="str">
        <f>IF(Recipe!D26&lt;&gt;0, Recipe!D26, "")</f>
        <v>---Select Grain/Fermentable---</v>
      </c>
      <c r="C19" s="138">
        <f>IF(B19&lt;&gt;"",VLOOKUP(B19,GRAINLOOKUP!$A$2:$F$200,6,0),0)</f>
        <v>0</v>
      </c>
      <c r="D19" s="138">
        <f>IF(B19&lt;&gt;"",VLOOKUP(B19,GRAINLOOKUP!$A$2:$H$200,8,0),0)</f>
        <v>0</v>
      </c>
      <c r="E19" s="139">
        <f>IF(Brewhouse!V17="Metric",    IF(B19="", 0, IF(VLOOKUP(B19,GRAINLOOKUP!$A$2:$C$200,3,0)="y", Recipe!B26*2.20462262, 0)), IF(B19="", 0, IF(VLOOKUP(B19,GRAINLOOKUP!$A$2:$C$200,3,0)="y", Recipe!B26, 0)))</f>
        <v>0</v>
      </c>
      <c r="F19" s="140">
        <f t="shared" si="0"/>
        <v>0</v>
      </c>
      <c r="G19" s="141">
        <f t="shared" si="1"/>
        <v>0</v>
      </c>
      <c r="H19" s="140">
        <f t="shared" si="2"/>
        <v>0</v>
      </c>
      <c r="J19" s="815"/>
      <c r="K19" s="816"/>
      <c r="L19" s="816"/>
      <c r="M19" s="816"/>
      <c r="N19" s="817"/>
    </row>
    <row r="20" spans="1:14" ht="15.75" x14ac:dyDescent="0.25">
      <c r="C20" s="126"/>
      <c r="D20" s="143" t="s">
        <v>133</v>
      </c>
      <c r="E20" s="144">
        <f>SUM(E6:E19)</f>
        <v>12.539800000000001</v>
      </c>
      <c r="F20" s="144">
        <f>SUM(F6:F19)</f>
        <v>1</v>
      </c>
      <c r="G20" s="141"/>
      <c r="H20" s="145">
        <f>SUM(H6:H19)</f>
        <v>5.1248425014753023</v>
      </c>
      <c r="J20" s="815"/>
      <c r="K20" s="816"/>
      <c r="L20" s="816"/>
      <c r="M20" s="816"/>
      <c r="N20" s="817"/>
    </row>
    <row r="21" spans="1:14" ht="15.75" thickBot="1" x14ac:dyDescent="0.3">
      <c r="B21" s="131" t="s">
        <v>394</v>
      </c>
      <c r="C21" s="126"/>
      <c r="D21" s="126"/>
      <c r="E21" s="126"/>
      <c r="F21" s="128"/>
      <c r="G21" s="129"/>
      <c r="H21" s="128"/>
      <c r="J21" s="818"/>
      <c r="K21" s="819"/>
      <c r="L21" s="819"/>
      <c r="M21" s="819"/>
      <c r="N21" s="820"/>
    </row>
    <row r="22" spans="1:14" x14ac:dyDescent="0.25">
      <c r="B22" s="795">
        <f>5.72-0.0337*H20</f>
        <v>5.5472928077002823</v>
      </c>
      <c r="C22" s="126"/>
      <c r="D22" s="126"/>
      <c r="E22" s="126"/>
      <c r="F22" s="128"/>
      <c r="G22" s="129"/>
      <c r="H22" s="128"/>
      <c r="J22" s="146"/>
      <c r="K22" s="146"/>
      <c r="L22" s="146"/>
      <c r="M22" s="146"/>
      <c r="N22" s="146"/>
    </row>
    <row r="23" spans="1:14" ht="19.5" thickBot="1" x14ac:dyDescent="0.3">
      <c r="B23" s="796"/>
      <c r="C23" s="126"/>
      <c r="D23" s="126"/>
      <c r="E23" s="126"/>
      <c r="F23" s="128"/>
      <c r="G23" s="129"/>
      <c r="H23" s="128"/>
      <c r="J23" s="147"/>
      <c r="K23" s="147"/>
      <c r="L23" s="147"/>
      <c r="M23" s="147"/>
      <c r="N23" s="147"/>
    </row>
    <row r="24" spans="1:14" ht="23.25" x14ac:dyDescent="0.35">
      <c r="B24" s="148"/>
      <c r="C24" s="126"/>
      <c r="D24" s="126"/>
      <c r="E24" s="126"/>
      <c r="F24" s="128"/>
      <c r="G24" s="129"/>
      <c r="H24" s="128"/>
      <c r="J24" s="147"/>
      <c r="K24" s="147"/>
      <c r="L24" s="147"/>
      <c r="M24" s="147"/>
      <c r="N24" s="147"/>
    </row>
    <row r="25" spans="1:14" ht="18.75" x14ac:dyDescent="0.25">
      <c r="C25" s="126"/>
      <c r="D25" s="126"/>
      <c r="E25" s="126"/>
      <c r="F25" s="128"/>
      <c r="G25" s="129"/>
      <c r="H25" s="128"/>
      <c r="J25" s="147"/>
      <c r="K25" s="147"/>
      <c r="L25" s="147"/>
      <c r="M25" s="147"/>
      <c r="N25" s="147"/>
    </row>
    <row r="26" spans="1:14" ht="18.75" x14ac:dyDescent="0.25">
      <c r="B26" s="799" t="s">
        <v>395</v>
      </c>
      <c r="C26" s="126"/>
      <c r="D26" s="126"/>
      <c r="E26" s="126"/>
      <c r="F26" s="128"/>
      <c r="G26" s="129"/>
      <c r="H26" s="128"/>
      <c r="J26" s="147"/>
      <c r="K26" s="147"/>
      <c r="L26" s="147"/>
      <c r="M26" s="147"/>
      <c r="N26" s="147"/>
    </row>
    <row r="27" spans="1:14" ht="21" x14ac:dyDescent="0.35">
      <c r="B27" s="800"/>
      <c r="C27" s="126"/>
      <c r="D27" s="126"/>
      <c r="E27" s="130"/>
      <c r="F27" s="128"/>
      <c r="G27" s="129"/>
      <c r="H27" s="128"/>
      <c r="L27" s="126"/>
    </row>
    <row r="28" spans="1:14" x14ac:dyDescent="0.25">
      <c r="A28" s="149"/>
      <c r="B28" s="150" t="s">
        <v>396</v>
      </c>
      <c r="C28" s="151">
        <f>IF(Brewhouse!V17="Metric",  Water!S4*0.264172051, Water!S4)</f>
        <v>3.9186875000000003</v>
      </c>
      <c r="D28" s="152" t="s">
        <v>397</v>
      </c>
      <c r="E28" s="141">
        <f>C28*3.785</f>
        <v>14.832232187500002</v>
      </c>
      <c r="F28" s="129"/>
      <c r="G28" s="129"/>
      <c r="H28" s="129"/>
      <c r="I28" s="149"/>
      <c r="J28" s="149"/>
      <c r="K28" s="149"/>
      <c r="L28" s="129"/>
      <c r="M28" s="149"/>
      <c r="N28" s="149"/>
    </row>
    <row r="29" spans="1:14" x14ac:dyDescent="0.25">
      <c r="B29" s="153" t="s">
        <v>398</v>
      </c>
      <c r="C29" s="154">
        <f>Water!U4</f>
        <v>0</v>
      </c>
      <c r="D29" s="126"/>
      <c r="E29" s="126"/>
      <c r="F29" s="128"/>
      <c r="G29" s="129"/>
      <c r="H29" s="128"/>
      <c r="L29" s="126"/>
    </row>
    <row r="30" spans="1:14" x14ac:dyDescent="0.25">
      <c r="B30" s="153" t="s">
        <v>399</v>
      </c>
      <c r="C30" s="140">
        <f>C28*4/E20</f>
        <v>1.25</v>
      </c>
      <c r="D30" s="143" t="s">
        <v>400</v>
      </c>
      <c r="E30" s="140">
        <f>C28/E20*3.785*2.2</f>
        <v>2.6021875000000003</v>
      </c>
      <c r="F30" s="128"/>
      <c r="G30" s="129"/>
      <c r="H30" s="128"/>
      <c r="L30" s="126"/>
    </row>
    <row r="31" spans="1:14" x14ac:dyDescent="0.25">
      <c r="A31" s="155"/>
      <c r="B31" s="156" t="s">
        <v>401</v>
      </c>
      <c r="C31" s="157">
        <f>0.037+0.014*E30</f>
        <v>7.3430624999999999E-2</v>
      </c>
      <c r="D31" s="155"/>
      <c r="E31" s="155"/>
      <c r="F31" s="155"/>
      <c r="G31" s="155"/>
      <c r="H31" s="155"/>
      <c r="I31" s="155"/>
      <c r="J31" s="155"/>
      <c r="K31" s="155"/>
      <c r="L31" s="155"/>
      <c r="M31" s="155"/>
      <c r="N31" s="155"/>
    </row>
    <row r="32" spans="1:14" ht="15.75" x14ac:dyDescent="0.25">
      <c r="C32" s="802" t="s">
        <v>402</v>
      </c>
      <c r="D32" s="803"/>
      <c r="E32" s="803"/>
      <c r="F32" s="804"/>
      <c r="G32" s="805" t="s">
        <v>403</v>
      </c>
      <c r="H32" s="806"/>
      <c r="I32" s="806"/>
      <c r="J32" s="807"/>
      <c r="L32" s="126"/>
    </row>
    <row r="33" spans="1:14" x14ac:dyDescent="0.25">
      <c r="B33" s="153" t="s">
        <v>404</v>
      </c>
      <c r="C33" s="143" t="s">
        <v>405</v>
      </c>
      <c r="D33" s="143" t="s">
        <v>406</v>
      </c>
      <c r="E33" s="143" t="s">
        <v>407</v>
      </c>
      <c r="F33" s="158" t="s">
        <v>364</v>
      </c>
      <c r="G33" s="159" t="s">
        <v>408</v>
      </c>
      <c r="H33" s="152" t="s">
        <v>409</v>
      </c>
      <c r="I33" s="159" t="s">
        <v>410</v>
      </c>
      <c r="J33" s="160" t="s">
        <v>364</v>
      </c>
      <c r="K33" s="143" t="s">
        <v>411</v>
      </c>
      <c r="L33" s="143" t="s">
        <v>412</v>
      </c>
      <c r="M33" s="143" t="s">
        <v>413</v>
      </c>
    </row>
    <row r="34" spans="1:14" x14ac:dyDescent="0.25">
      <c r="A34" s="96"/>
      <c r="B34" s="161" t="s">
        <v>414</v>
      </c>
      <c r="C34" s="162">
        <f>Water!B4</f>
        <v>16.600000000000001</v>
      </c>
      <c r="D34" s="162">
        <f>Water!D4</f>
        <v>1.6</v>
      </c>
      <c r="E34" s="162">
        <f>Water!F4</f>
        <v>3.2</v>
      </c>
      <c r="F34" s="163"/>
      <c r="G34" s="162">
        <f>Water!H4</f>
        <v>2.5</v>
      </c>
      <c r="H34" s="162">
        <f>Water!J4</f>
        <v>12</v>
      </c>
      <c r="I34" s="162">
        <f>Water!L4</f>
        <v>43</v>
      </c>
      <c r="J34" s="96"/>
      <c r="K34" s="61"/>
      <c r="L34" s="164">
        <f>L35*50</f>
        <v>22.46216315051208</v>
      </c>
      <c r="M34" s="164">
        <f>M35*50</f>
        <v>19.268539128909733</v>
      </c>
      <c r="N34" s="96"/>
    </row>
    <row r="35" spans="1:14" ht="15.75" x14ac:dyDescent="0.25">
      <c r="A35" s="149"/>
      <c r="B35" s="150" t="s">
        <v>415</v>
      </c>
      <c r="C35" s="141">
        <f>2*C34/40.078</f>
        <v>0.82838464993263139</v>
      </c>
      <c r="D35" s="141">
        <f>2*D34/24.305</f>
        <v>0.13166015223205102</v>
      </c>
      <c r="E35" s="141">
        <f>1*E34/22.99</f>
        <v>0.13919095258808178</v>
      </c>
      <c r="F35" s="141">
        <f>SUM(C35:E35)</f>
        <v>1.099235754752764</v>
      </c>
      <c r="G35" s="141">
        <f>1*G34/35.4527</f>
        <v>7.0516490986582123E-2</v>
      </c>
      <c r="H35" s="141">
        <f>2*H34/96.062</f>
        <v>0.24983864587453936</v>
      </c>
      <c r="I35" s="141">
        <f>1*I34/61.016</f>
        <v>0.70473318473842927</v>
      </c>
      <c r="J35" s="141">
        <f>SUM(G35:I35)</f>
        <v>1.0250883215995508</v>
      </c>
      <c r="K35" s="141">
        <f>C35+D35+E35-G35-H35-I35</f>
        <v>7.414743315321326E-2</v>
      </c>
      <c r="L35" s="165">
        <f>I35-C35/3.5-D35/7</f>
        <v>0.44924326301024159</v>
      </c>
      <c r="M35" s="166">
        <f>I35-C35/2.8-D35/5.6</f>
        <v>0.38537078257819468</v>
      </c>
      <c r="N35" s="149"/>
    </row>
    <row r="36" spans="1:14" x14ac:dyDescent="0.25">
      <c r="B36" s="167"/>
      <c r="C36" s="168"/>
      <c r="D36" s="126"/>
      <c r="E36" s="126"/>
      <c r="F36" s="128"/>
      <c r="G36" s="129"/>
      <c r="H36" s="128"/>
      <c r="L36" s="126"/>
      <c r="M36" s="126"/>
    </row>
    <row r="37" spans="1:14" x14ac:dyDescent="0.25">
      <c r="B37" s="153" t="s">
        <v>416</v>
      </c>
      <c r="C37" s="143" t="s">
        <v>405</v>
      </c>
      <c r="D37" s="143" t="s">
        <v>406</v>
      </c>
      <c r="E37" s="143" t="s">
        <v>407</v>
      </c>
      <c r="F37" s="158" t="s">
        <v>364</v>
      </c>
      <c r="G37" s="159" t="s">
        <v>408</v>
      </c>
      <c r="H37" s="152" t="s">
        <v>409</v>
      </c>
      <c r="I37" s="159" t="s">
        <v>410</v>
      </c>
      <c r="J37" s="160" t="s">
        <v>364</v>
      </c>
      <c r="K37" s="143" t="s">
        <v>411</v>
      </c>
      <c r="L37" s="143" t="s">
        <v>412</v>
      </c>
      <c r="M37" s="143" t="s">
        <v>413</v>
      </c>
    </row>
    <row r="38" spans="1:14" x14ac:dyDescent="0.25">
      <c r="A38" s="96"/>
      <c r="B38" s="161" t="s">
        <v>414</v>
      </c>
      <c r="C38" s="164">
        <f t="shared" ref="C38:E39" si="3">C34*(1-$C$29)</f>
        <v>16.600000000000001</v>
      </c>
      <c r="D38" s="164">
        <f t="shared" si="3"/>
        <v>1.6</v>
      </c>
      <c r="E38" s="164">
        <f t="shared" si="3"/>
        <v>3.2</v>
      </c>
      <c r="F38" s="163"/>
      <c r="G38" s="164">
        <f t="shared" ref="G38:I39" si="4">G34*(1-$C$29)</f>
        <v>2.5</v>
      </c>
      <c r="H38" s="164">
        <f t="shared" si="4"/>
        <v>12</v>
      </c>
      <c r="I38" s="164">
        <f t="shared" si="4"/>
        <v>43</v>
      </c>
      <c r="J38" s="96"/>
      <c r="K38" s="61"/>
      <c r="L38" s="164">
        <f>L39*50</f>
        <v>22.46216315051208</v>
      </c>
      <c r="M38" s="164">
        <f>M39*50</f>
        <v>19.268539128909733</v>
      </c>
      <c r="N38" s="96"/>
    </row>
    <row r="39" spans="1:14" ht="15.75" x14ac:dyDescent="0.25">
      <c r="A39" s="149"/>
      <c r="B39" s="150" t="s">
        <v>415</v>
      </c>
      <c r="C39" s="141">
        <f t="shared" si="3"/>
        <v>0.82838464993263139</v>
      </c>
      <c r="D39" s="141">
        <f t="shared" si="3"/>
        <v>0.13166015223205102</v>
      </c>
      <c r="E39" s="141">
        <f t="shared" si="3"/>
        <v>0.13919095258808178</v>
      </c>
      <c r="F39" s="141">
        <f>SUM(C39:E39)</f>
        <v>1.099235754752764</v>
      </c>
      <c r="G39" s="141">
        <f t="shared" si="4"/>
        <v>7.0516490986582123E-2</v>
      </c>
      <c r="H39" s="141">
        <f t="shared" si="4"/>
        <v>0.24983864587453936</v>
      </c>
      <c r="I39" s="141">
        <f t="shared" si="4"/>
        <v>0.70473318473842927</v>
      </c>
      <c r="J39" s="141">
        <f>SUM(G39:I39)</f>
        <v>1.0250883215995508</v>
      </c>
      <c r="K39" s="141">
        <f>C39+D39+E39-G39-H39-I39</f>
        <v>7.414743315321326E-2</v>
      </c>
      <c r="L39" s="165">
        <f>I39-C39/3.5-D39/7</f>
        <v>0.44924326301024159</v>
      </c>
      <c r="M39" s="166">
        <f>I39-C39/2.8-D39/5.6</f>
        <v>0.38537078257819468</v>
      </c>
      <c r="N39" s="149"/>
    </row>
    <row r="40" spans="1:14" x14ac:dyDescent="0.25">
      <c r="B40" s="167"/>
      <c r="C40" s="168"/>
      <c r="D40" s="126"/>
      <c r="E40" s="126"/>
      <c r="F40" s="128"/>
      <c r="G40" s="129"/>
      <c r="H40" s="128"/>
      <c r="L40" s="126"/>
    </row>
    <row r="41" spans="1:14" ht="15.75" thickBot="1" x14ac:dyDescent="0.3">
      <c r="B41" s="131" t="s">
        <v>417</v>
      </c>
      <c r="C41" s="126"/>
      <c r="D41" s="126"/>
      <c r="E41" s="126"/>
      <c r="F41" s="128"/>
      <c r="G41" s="129"/>
      <c r="H41" s="128"/>
      <c r="I41" s="126"/>
      <c r="J41" s="126"/>
      <c r="L41" s="126"/>
    </row>
    <row r="42" spans="1:14" x14ac:dyDescent="0.25">
      <c r="B42" s="795">
        <f>B22+C31*M39</f>
        <v>5.5755908251217381</v>
      </c>
      <c r="C42" s="126"/>
      <c r="D42" s="126"/>
      <c r="E42" s="126"/>
      <c r="F42" s="128"/>
      <c r="G42" s="129"/>
      <c r="H42" s="128"/>
      <c r="I42" s="126"/>
      <c r="J42" s="126"/>
      <c r="L42" s="126"/>
    </row>
    <row r="43" spans="1:14" ht="15.75" thickBot="1" x14ac:dyDescent="0.3">
      <c r="B43" s="796"/>
      <c r="C43" s="126"/>
      <c r="D43" s="126"/>
      <c r="E43" s="126"/>
      <c r="F43" s="128"/>
      <c r="G43" s="129"/>
      <c r="H43" s="128"/>
      <c r="L43" s="126"/>
    </row>
    <row r="44" spans="1:14" x14ac:dyDescent="0.25">
      <c r="C44" s="126"/>
      <c r="D44" s="126"/>
      <c r="E44" s="126"/>
      <c r="F44" s="128"/>
      <c r="G44" s="129"/>
      <c r="H44" s="128"/>
      <c r="L44" s="126"/>
    </row>
    <row r="45" spans="1:14" x14ac:dyDescent="0.25">
      <c r="C45" s="126"/>
      <c r="D45" s="126"/>
      <c r="E45" s="126"/>
      <c r="F45" s="128"/>
      <c r="G45" s="129"/>
      <c r="H45" s="128"/>
      <c r="L45" s="126"/>
    </row>
    <row r="46" spans="1:14" x14ac:dyDescent="0.25">
      <c r="B46" s="799" t="s">
        <v>418</v>
      </c>
      <c r="C46" s="126"/>
      <c r="D46" s="126"/>
      <c r="E46" s="126"/>
      <c r="F46" s="128"/>
      <c r="G46" s="129"/>
      <c r="H46" s="128"/>
      <c r="L46" s="126"/>
    </row>
    <row r="47" spans="1:14" ht="15.75" x14ac:dyDescent="0.25">
      <c r="B47" s="800"/>
      <c r="C47" s="801" t="s">
        <v>419</v>
      </c>
      <c r="D47" s="801"/>
      <c r="E47" s="801"/>
      <c r="F47" s="801"/>
      <c r="G47" s="169" t="s">
        <v>420</v>
      </c>
      <c r="H47" s="797" t="s">
        <v>421</v>
      </c>
      <c r="I47" s="798"/>
      <c r="J47" s="170"/>
      <c r="L47" s="126"/>
    </row>
    <row r="48" spans="1:14" x14ac:dyDescent="0.25">
      <c r="B48" s="153" t="s">
        <v>422</v>
      </c>
      <c r="C48" s="171" t="s">
        <v>423</v>
      </c>
      <c r="D48" s="143" t="s">
        <v>424</v>
      </c>
      <c r="E48" s="159" t="s">
        <v>425</v>
      </c>
      <c r="F48" s="143" t="s">
        <v>426</v>
      </c>
      <c r="G48" s="143" t="s">
        <v>427</v>
      </c>
      <c r="H48" s="159" t="s">
        <v>428</v>
      </c>
      <c r="I48" s="143" t="s">
        <v>429</v>
      </c>
      <c r="L48" s="126"/>
    </row>
    <row r="49" spans="1:14" x14ac:dyDescent="0.25">
      <c r="B49" s="153" t="s">
        <v>430</v>
      </c>
      <c r="C49" s="143" t="s">
        <v>431</v>
      </c>
      <c r="D49" s="143" t="s">
        <v>431</v>
      </c>
      <c r="E49" s="143" t="s">
        <v>432</v>
      </c>
      <c r="F49" s="143" t="s">
        <v>433</v>
      </c>
      <c r="G49" s="172" t="s">
        <v>434</v>
      </c>
      <c r="H49" s="158" t="s">
        <v>434</v>
      </c>
      <c r="I49" s="160" t="s">
        <v>434</v>
      </c>
      <c r="L49" s="126"/>
    </row>
    <row r="50" spans="1:14" x14ac:dyDescent="0.25">
      <c r="A50" s="129"/>
      <c r="B50" s="173" t="s">
        <v>435</v>
      </c>
      <c r="C50" s="151">
        <f>Water!F25</f>
        <v>2</v>
      </c>
      <c r="D50" s="151">
        <f>Water!H25</f>
        <v>1.5</v>
      </c>
      <c r="E50" s="151">
        <f>Water!J25</f>
        <v>0</v>
      </c>
      <c r="F50" s="151">
        <f>Water!L25</f>
        <v>0</v>
      </c>
      <c r="G50" s="151">
        <f>Water!N25</f>
        <v>2</v>
      </c>
      <c r="H50" s="151">
        <f>Water!P25</f>
        <v>0</v>
      </c>
      <c r="I50" s="151">
        <f>Water!R25</f>
        <v>0</v>
      </c>
      <c r="J50" s="129"/>
      <c r="K50" s="129"/>
      <c r="L50" s="129"/>
      <c r="M50" s="129"/>
      <c r="N50" s="129"/>
    </row>
    <row r="51" spans="1:14" x14ac:dyDescent="0.25">
      <c r="A51" s="126"/>
      <c r="B51" s="174"/>
      <c r="C51" s="175"/>
      <c r="D51" s="175"/>
      <c r="E51" s="175"/>
      <c r="F51" s="168"/>
      <c r="G51" s="176"/>
      <c r="H51" s="168"/>
      <c r="I51" s="175"/>
      <c r="J51" s="126"/>
      <c r="K51" s="126"/>
      <c r="L51" s="126"/>
      <c r="M51" s="126"/>
      <c r="N51" s="126"/>
    </row>
    <row r="52" spans="1:14" ht="15.75" x14ac:dyDescent="0.25">
      <c r="B52" s="167"/>
      <c r="C52" s="808" t="s">
        <v>402</v>
      </c>
      <c r="D52" s="808"/>
      <c r="E52" s="808"/>
      <c r="F52" s="808"/>
      <c r="G52" s="809" t="s">
        <v>436</v>
      </c>
      <c r="H52" s="809"/>
      <c r="I52" s="809"/>
      <c r="J52" s="809"/>
      <c r="L52" s="126"/>
    </row>
    <row r="53" spans="1:14" x14ac:dyDescent="0.25">
      <c r="B53" s="153" t="s">
        <v>437</v>
      </c>
      <c r="C53" s="134" t="s">
        <v>405</v>
      </c>
      <c r="D53" s="134" t="s">
        <v>406</v>
      </c>
      <c r="E53" s="134" t="s">
        <v>407</v>
      </c>
      <c r="F53" s="159" t="s">
        <v>364</v>
      </c>
      <c r="G53" s="135" t="s">
        <v>408</v>
      </c>
      <c r="H53" s="136" t="s">
        <v>409</v>
      </c>
      <c r="I53" s="135" t="s">
        <v>410</v>
      </c>
      <c r="J53" s="143" t="s">
        <v>364</v>
      </c>
      <c r="K53" s="143" t="s">
        <v>411</v>
      </c>
      <c r="L53" s="143" t="s">
        <v>412</v>
      </c>
      <c r="M53" s="143" t="s">
        <v>413</v>
      </c>
    </row>
    <row r="54" spans="1:14" x14ac:dyDescent="0.25">
      <c r="A54" s="96"/>
      <c r="B54" s="161" t="s">
        <v>414</v>
      </c>
      <c r="C54" s="164">
        <f>C38+(0.273*C50*1000+0.233*D50*1000+0.541*I50*1000)/E28</f>
        <v>76.975268447772194</v>
      </c>
      <c r="D54" s="164">
        <f>D38+( 0.12*E50*1000 + 0.099*F50*1000)/E28</f>
        <v>1.6</v>
      </c>
      <c r="E54" s="164">
        <f>E38 + (0.393*G50*1000 + 0.274*H50*1000 )/E28</f>
        <v>56.192697934058003</v>
      </c>
      <c r="F54" s="163"/>
      <c r="G54" s="164">
        <f>G38 + ( 0.482*C50*1000 + 0.349 * E50*1000 + 0.607*G50*1000)/E28</f>
        <v>149.34236145086302</v>
      </c>
      <c r="H54" s="164">
        <f>H38 + (0.558*D50*1000 + 0.39 * F50*1000)/E28</f>
        <v>68.431155433596132</v>
      </c>
      <c r="I54" s="164">
        <f>I38 + ( 0.726*H50*1000 + 0.459*I50*1000*61.016/17.007)/E28</f>
        <v>43</v>
      </c>
      <c r="J54" s="96"/>
      <c r="K54" s="61"/>
      <c r="L54" s="164">
        <f>L55*50</f>
        <v>-20.579098138383277</v>
      </c>
      <c r="M54" s="164">
        <f>M55*50</f>
        <v>-34.533037482209473</v>
      </c>
      <c r="N54" s="96"/>
    </row>
    <row r="55" spans="1:14" ht="15.75" x14ac:dyDescent="0.25">
      <c r="A55" s="149"/>
      <c r="B55" s="150" t="s">
        <v>415</v>
      </c>
      <c r="C55" s="141">
        <f>2*C54/40.078</f>
        <v>3.8412729401553065</v>
      </c>
      <c r="D55" s="141">
        <f>2*D54/24.305</f>
        <v>0.13166015223205102</v>
      </c>
      <c r="E55" s="141">
        <f>1*E54/22.99</f>
        <v>2.4442234856049589</v>
      </c>
      <c r="F55" s="141">
        <f>SUM(C55:E55)</f>
        <v>6.4171565779923165</v>
      </c>
      <c r="G55" s="141">
        <f>1*G54/35.4527</f>
        <v>4.2124397140658685</v>
      </c>
      <c r="H55" s="141">
        <f>2*H54/96.062</f>
        <v>1.4247289340966487</v>
      </c>
      <c r="I55" s="141">
        <f>1*I54/61.016</f>
        <v>0.70473318473842927</v>
      </c>
      <c r="J55" s="141">
        <f>SUM(G55:I55)</f>
        <v>6.3419018329009464</v>
      </c>
      <c r="K55" s="141">
        <f>C55+D55+E55-G55-H55-I55</f>
        <v>7.525474509137009E-2</v>
      </c>
      <c r="L55" s="165">
        <f>I55-C55/3.5-D55/7</f>
        <v>-0.41158196276766551</v>
      </c>
      <c r="M55" s="166">
        <f>I55-C55/2.8-D55/5.6</f>
        <v>-0.69066074964418944</v>
      </c>
      <c r="N55" s="149"/>
    </row>
    <row r="56" spans="1:14" x14ac:dyDescent="0.25">
      <c r="C56" s="126"/>
      <c r="D56" s="126"/>
      <c r="E56" s="126"/>
      <c r="F56" s="128"/>
      <c r="G56" s="129"/>
      <c r="H56" s="128"/>
      <c r="L56" s="126"/>
    </row>
    <row r="57" spans="1:14" ht="15.75" thickBot="1" x14ac:dyDescent="0.3">
      <c r="B57" s="131" t="s">
        <v>438</v>
      </c>
      <c r="C57" s="126"/>
      <c r="D57" s="126"/>
      <c r="E57" s="126"/>
      <c r="F57" s="128"/>
      <c r="G57" s="129"/>
      <c r="H57" s="128"/>
      <c r="L57" s="126"/>
    </row>
    <row r="58" spans="1:14" x14ac:dyDescent="0.25">
      <c r="B58" s="795">
        <f>B22 + C31 * M55</f>
        <v>5.4965771571909405</v>
      </c>
      <c r="C58" s="126"/>
      <c r="D58" s="126"/>
      <c r="E58" s="126"/>
      <c r="F58" s="128"/>
      <c r="G58" s="129"/>
      <c r="H58" s="128"/>
      <c r="L58" s="126"/>
    </row>
    <row r="59" spans="1:14" ht="15.75" thickBot="1" x14ac:dyDescent="0.3">
      <c r="B59" s="796"/>
      <c r="C59" s="126"/>
      <c r="D59" s="126"/>
      <c r="E59" s="126"/>
      <c r="F59" s="128"/>
      <c r="G59" s="129"/>
      <c r="H59" s="128"/>
      <c r="L59" s="126"/>
    </row>
    <row r="60" spans="1:14" ht="15.75" x14ac:dyDescent="0.25">
      <c r="B60" s="177"/>
      <c r="C60" s="126"/>
      <c r="D60" s="126"/>
      <c r="E60" s="126"/>
      <c r="F60" s="128"/>
      <c r="G60" s="129"/>
      <c r="H60" s="128"/>
      <c r="L60" s="126"/>
    </row>
    <row r="61" spans="1:14" x14ac:dyDescent="0.25">
      <c r="C61" s="126"/>
      <c r="D61" s="126"/>
      <c r="E61" s="126"/>
      <c r="F61" s="128"/>
      <c r="G61" s="129"/>
      <c r="H61" s="128"/>
      <c r="L61" s="126"/>
    </row>
    <row r="62" spans="1:14" x14ac:dyDescent="0.25">
      <c r="B62" s="799" t="s">
        <v>439</v>
      </c>
      <c r="C62" s="126"/>
      <c r="D62" s="126"/>
      <c r="E62" s="126"/>
      <c r="F62" s="128"/>
      <c r="G62" s="129"/>
      <c r="H62" s="128"/>
      <c r="L62" s="126"/>
    </row>
    <row r="63" spans="1:14" x14ac:dyDescent="0.25">
      <c r="B63" s="800"/>
      <c r="C63" s="175"/>
      <c r="D63" s="175"/>
      <c r="E63" s="175"/>
      <c r="F63" s="168"/>
      <c r="G63" s="129"/>
      <c r="H63" s="128"/>
      <c r="L63" s="126"/>
    </row>
    <row r="64" spans="1:14" x14ac:dyDescent="0.25">
      <c r="B64" s="153" t="s">
        <v>440</v>
      </c>
      <c r="C64" s="143" t="s">
        <v>441</v>
      </c>
      <c r="D64" s="143" t="s">
        <v>442</v>
      </c>
      <c r="E64" s="143" t="s">
        <v>156</v>
      </c>
      <c r="F64" s="128"/>
      <c r="G64" s="129"/>
      <c r="H64" s="128"/>
      <c r="L64" s="126"/>
    </row>
    <row r="65" spans="2:12" x14ac:dyDescent="0.25">
      <c r="B65" s="153" t="s">
        <v>443</v>
      </c>
      <c r="C65" s="154">
        <f>Water!Y25</f>
        <v>0.1</v>
      </c>
      <c r="D65" s="154">
        <f>Water!AA25</f>
        <v>0.88</v>
      </c>
      <c r="E65" s="178">
        <f>Water!AC25</f>
        <v>0.03</v>
      </c>
      <c r="F65" s="128"/>
      <c r="G65" s="129"/>
      <c r="H65" s="128"/>
      <c r="L65" s="126"/>
    </row>
    <row r="66" spans="2:12" x14ac:dyDescent="0.25">
      <c r="B66" s="153" t="s">
        <v>444</v>
      </c>
      <c r="C66" s="140">
        <f>1+0.49*C65+0.375*C65^2</f>
        <v>1.0527499999999999</v>
      </c>
      <c r="D66" s="140">
        <f>1+0.237*D65</f>
        <v>1.2085600000000001</v>
      </c>
      <c r="E66" s="175"/>
      <c r="F66" s="128"/>
      <c r="G66" s="129"/>
      <c r="H66" s="128"/>
      <c r="L66" s="126"/>
    </row>
    <row r="67" spans="2:12" x14ac:dyDescent="0.25">
      <c r="B67" s="153" t="s">
        <v>445</v>
      </c>
      <c r="C67" s="151">
        <f>Water!Y26</f>
        <v>0</v>
      </c>
      <c r="D67" s="151">
        <f>Water!AA26</f>
        <v>2</v>
      </c>
      <c r="E67" s="151">
        <f>IF(Brewhouse!V17="Metric", Water!AC26*0.0352739619, Water!AC26)</f>
        <v>0</v>
      </c>
      <c r="F67" s="143" t="s">
        <v>412</v>
      </c>
      <c r="G67" s="143" t="s">
        <v>413</v>
      </c>
      <c r="H67" s="128"/>
      <c r="L67" s="126"/>
    </row>
    <row r="68" spans="2:12" x14ac:dyDescent="0.25">
      <c r="B68" s="153" t="s">
        <v>446</v>
      </c>
      <c r="C68" s="164">
        <f>C69*50</f>
        <v>0</v>
      </c>
      <c r="D68" s="164">
        <f>D69*50</f>
        <v>-79.59170093881653</v>
      </c>
      <c r="E68" s="164"/>
      <c r="F68" s="164">
        <f>F69*50</f>
        <v>-100.17079907719979</v>
      </c>
      <c r="G68" s="164">
        <f>G69*50</f>
        <v>-114.124738421026</v>
      </c>
      <c r="H68" s="128"/>
      <c r="L68" s="126"/>
    </row>
    <row r="69" spans="2:12" ht="15.75" x14ac:dyDescent="0.25">
      <c r="B69" s="153" t="s">
        <v>447</v>
      </c>
      <c r="C69" s="141">
        <f>-C65*C66/98*1000*C67/E28</f>
        <v>0</v>
      </c>
      <c r="D69" s="141">
        <f>-D65*D66/90.09*1000*D67/E28</f>
        <v>-1.5918340187763305</v>
      </c>
      <c r="E69" s="141">
        <f>-E65*E67*28.35/90.09/E28*1000</f>
        <v>0</v>
      </c>
      <c r="F69" s="165">
        <f>L55+C69+D69+E69</f>
        <v>-2.0034159815439958</v>
      </c>
      <c r="G69" s="166">
        <f>M55+C69+D69+E69</f>
        <v>-2.2824947684205199</v>
      </c>
    </row>
    <row r="70" spans="2:12" x14ac:dyDescent="0.25">
      <c r="C70" s="126"/>
      <c r="D70" s="126"/>
      <c r="E70" s="126"/>
      <c r="F70" s="128"/>
      <c r="G70" s="129"/>
      <c r="H70" s="128"/>
      <c r="L70" s="126"/>
    </row>
    <row r="71" spans="2:12" ht="15.75" thickBot="1" x14ac:dyDescent="0.3">
      <c r="B71" s="131" t="s">
        <v>448</v>
      </c>
      <c r="C71" s="126"/>
      <c r="D71" s="126"/>
      <c r="E71" s="126"/>
      <c r="F71" s="128"/>
      <c r="G71" s="129"/>
    </row>
    <row r="72" spans="2:12" x14ac:dyDescent="0.25">
      <c r="B72" s="795">
        <f>B22+C31*G69</f>
        <v>5.3796877902959332</v>
      </c>
      <c r="C72" s="126"/>
      <c r="D72" s="126"/>
      <c r="E72" s="126"/>
      <c r="F72" s="128"/>
      <c r="G72" s="129"/>
    </row>
    <row r="73" spans="2:12" ht="15.75" thickBot="1" x14ac:dyDescent="0.3">
      <c r="B73" s="796"/>
      <c r="C73" s="126"/>
      <c r="D73" s="126"/>
      <c r="E73" s="126"/>
      <c r="F73" s="128"/>
      <c r="G73" s="129"/>
    </row>
  </sheetData>
  <mergeCells count="17">
    <mergeCell ref="B26:B27"/>
    <mergeCell ref="B2:B3"/>
    <mergeCell ref="J4:N12"/>
    <mergeCell ref="J13:N13"/>
    <mergeCell ref="J18:N21"/>
    <mergeCell ref="B22:B23"/>
    <mergeCell ref="B72:B73"/>
    <mergeCell ref="H47:I47"/>
    <mergeCell ref="B46:B47"/>
    <mergeCell ref="C47:F47"/>
    <mergeCell ref="C32:F32"/>
    <mergeCell ref="G32:J32"/>
    <mergeCell ref="B42:B43"/>
    <mergeCell ref="C52:F52"/>
    <mergeCell ref="G52:J52"/>
    <mergeCell ref="B58:B59"/>
    <mergeCell ref="B62:B63"/>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dimension ref="B2:K34"/>
  <sheetViews>
    <sheetView workbookViewId="0">
      <selection activeCell="C4" sqref="C4"/>
    </sheetView>
  </sheetViews>
  <sheetFormatPr defaultRowHeight="15" x14ac:dyDescent="0.25"/>
  <cols>
    <col min="2" max="2" width="25" bestFit="1" customWidth="1"/>
  </cols>
  <sheetData>
    <row r="2" spans="2:11" ht="18.75" x14ac:dyDescent="0.25">
      <c r="B2" s="799" t="s">
        <v>449</v>
      </c>
      <c r="C2" s="126"/>
      <c r="D2" s="126"/>
      <c r="E2" s="126"/>
      <c r="F2" s="128"/>
      <c r="G2" s="129"/>
      <c r="H2" s="128"/>
      <c r="J2" s="147"/>
      <c r="K2" s="147"/>
    </row>
    <row r="3" spans="2:11" ht="21" x14ac:dyDescent="0.35">
      <c r="B3" s="800"/>
      <c r="C3" s="126"/>
      <c r="D3" s="126"/>
      <c r="E3" s="130"/>
      <c r="F3" s="128"/>
      <c r="G3" s="129"/>
      <c r="H3" s="128"/>
    </row>
    <row r="4" spans="2:11" x14ac:dyDescent="0.25">
      <c r="B4" s="150" t="s">
        <v>396</v>
      </c>
      <c r="C4" s="278">
        <f>IF(Brewhouse!V17="Metric",  Water!W4*0.264172051, Water!W4)</f>
        <v>3.8610884999999997</v>
      </c>
      <c r="D4" s="152" t="s">
        <v>397</v>
      </c>
      <c r="E4" s="141">
        <f>C4*3.785</f>
        <v>14.614219972499999</v>
      </c>
      <c r="F4" s="129"/>
      <c r="G4" s="129"/>
      <c r="H4" s="129"/>
      <c r="I4" s="149"/>
      <c r="J4" s="149"/>
      <c r="K4" s="149"/>
    </row>
    <row r="5" spans="2:11" x14ac:dyDescent="0.25">
      <c r="B5" s="153" t="s">
        <v>398</v>
      </c>
      <c r="C5" s="154">
        <f>Water!Y4</f>
        <v>0</v>
      </c>
      <c r="D5" s="126"/>
      <c r="E5" s="126"/>
      <c r="F5" s="128"/>
      <c r="G5" s="129"/>
      <c r="H5" s="128"/>
    </row>
    <row r="6" spans="2:11" x14ac:dyDescent="0.25">
      <c r="B6" s="167"/>
      <c r="C6" s="168"/>
      <c r="D6" s="175"/>
      <c r="E6" s="168"/>
      <c r="F6" s="128"/>
      <c r="G6" s="129"/>
      <c r="H6" s="128"/>
    </row>
    <row r="7" spans="2:11" x14ac:dyDescent="0.25">
      <c r="B7" s="179"/>
      <c r="C7" s="180"/>
      <c r="D7" s="179"/>
      <c r="E7" s="179"/>
      <c r="F7" s="155"/>
      <c r="G7" s="155"/>
      <c r="H7" s="155"/>
      <c r="I7" s="155"/>
      <c r="J7" s="155"/>
      <c r="K7" s="155"/>
    </row>
    <row r="8" spans="2:11" ht="15.75" x14ac:dyDescent="0.25">
      <c r="C8" s="802" t="s">
        <v>402</v>
      </c>
      <c r="D8" s="803"/>
      <c r="E8" s="803"/>
      <c r="F8" s="804"/>
      <c r="G8" s="805" t="s">
        <v>403</v>
      </c>
      <c r="H8" s="806"/>
      <c r="I8" s="806"/>
      <c r="J8" s="807"/>
    </row>
    <row r="9" spans="2:11" x14ac:dyDescent="0.25">
      <c r="B9" s="153" t="s">
        <v>404</v>
      </c>
      <c r="C9" s="143" t="s">
        <v>405</v>
      </c>
      <c r="D9" s="143" t="s">
        <v>406</v>
      </c>
      <c r="E9" s="143" t="s">
        <v>407</v>
      </c>
      <c r="F9" s="158" t="s">
        <v>364</v>
      </c>
      <c r="G9" s="159" t="s">
        <v>408</v>
      </c>
      <c r="H9" s="152" t="s">
        <v>409</v>
      </c>
      <c r="I9" s="159" t="s">
        <v>410</v>
      </c>
      <c r="J9" s="160" t="s">
        <v>364</v>
      </c>
      <c r="K9" s="143" t="s">
        <v>411</v>
      </c>
    </row>
    <row r="10" spans="2:11" x14ac:dyDescent="0.25">
      <c r="B10" s="161" t="s">
        <v>414</v>
      </c>
      <c r="C10" s="181">
        <f>Mash_Chem!C34</f>
        <v>16.600000000000001</v>
      </c>
      <c r="D10" s="181">
        <f>Mash_Chem!D34</f>
        <v>1.6</v>
      </c>
      <c r="E10" s="181">
        <f>Mash_Chem!E34</f>
        <v>3.2</v>
      </c>
      <c r="F10" s="182"/>
      <c r="G10" s="181">
        <f>Mash_Chem!G34</f>
        <v>2.5</v>
      </c>
      <c r="H10" s="181">
        <f>Mash_Chem!H34</f>
        <v>12</v>
      </c>
      <c r="I10" s="181">
        <f>Mash_Chem!I34</f>
        <v>43</v>
      </c>
      <c r="J10" s="96"/>
      <c r="K10" s="61"/>
    </row>
    <row r="11" spans="2:11" x14ac:dyDescent="0.25">
      <c r="B11" s="150" t="s">
        <v>415</v>
      </c>
      <c r="C11" s="141">
        <f>2*C10/40.078</f>
        <v>0.82838464993263139</v>
      </c>
      <c r="D11" s="141">
        <f>2*D10/24.305</f>
        <v>0.13166015223205102</v>
      </c>
      <c r="E11" s="141">
        <f>1*E10/22.99</f>
        <v>0.13919095258808178</v>
      </c>
      <c r="F11" s="141">
        <f>SUM(C11:E11)</f>
        <v>1.099235754752764</v>
      </c>
      <c r="G11" s="141">
        <f>1*G10/35.4527</f>
        <v>7.0516490986582123E-2</v>
      </c>
      <c r="H11" s="141">
        <f>2*H10/96.062</f>
        <v>0.24983864587453936</v>
      </c>
      <c r="I11" s="141">
        <f>1*I10/61.016</f>
        <v>0.70473318473842927</v>
      </c>
      <c r="J11" s="141">
        <f>SUM(G11:I11)</f>
        <v>1.0250883215995508</v>
      </c>
      <c r="K11" s="141">
        <f>C11+D11+E11-G11-H11-I11</f>
        <v>7.414743315321326E-2</v>
      </c>
    </row>
    <row r="12" spans="2:11" x14ac:dyDescent="0.25">
      <c r="B12" s="167"/>
      <c r="C12" s="168"/>
      <c r="D12" s="126"/>
      <c r="E12" s="126"/>
      <c r="F12" s="128"/>
      <c r="G12" s="129"/>
      <c r="H12" s="128"/>
    </row>
    <row r="13" spans="2:11" x14ac:dyDescent="0.25">
      <c r="B13" s="153" t="s">
        <v>416</v>
      </c>
      <c r="C13" s="143" t="s">
        <v>405</v>
      </c>
      <c r="D13" s="143" t="s">
        <v>406</v>
      </c>
      <c r="E13" s="143" t="s">
        <v>407</v>
      </c>
      <c r="F13" s="158" t="s">
        <v>364</v>
      </c>
      <c r="G13" s="159" t="s">
        <v>408</v>
      </c>
      <c r="H13" s="152" t="s">
        <v>409</v>
      </c>
      <c r="I13" s="159" t="s">
        <v>410</v>
      </c>
      <c r="J13" s="160" t="s">
        <v>364</v>
      </c>
      <c r="K13" s="143" t="s">
        <v>411</v>
      </c>
    </row>
    <row r="14" spans="2:11" x14ac:dyDescent="0.25">
      <c r="B14" s="161" t="s">
        <v>414</v>
      </c>
      <c r="C14" s="164">
        <f t="shared" ref="C14:E15" si="0">C10*(1-$C$5)</f>
        <v>16.600000000000001</v>
      </c>
      <c r="D14" s="164">
        <f t="shared" si="0"/>
        <v>1.6</v>
      </c>
      <c r="E14" s="164">
        <f t="shared" si="0"/>
        <v>3.2</v>
      </c>
      <c r="F14" s="163"/>
      <c r="G14" s="164">
        <f t="shared" ref="G14:I15" si="1">G10*(1-$C$5)</f>
        <v>2.5</v>
      </c>
      <c r="H14" s="164">
        <f t="shared" si="1"/>
        <v>12</v>
      </c>
      <c r="I14" s="164">
        <f t="shared" si="1"/>
        <v>43</v>
      </c>
      <c r="J14" s="96"/>
      <c r="K14" s="61"/>
    </row>
    <row r="15" spans="2:11" x14ac:dyDescent="0.25">
      <c r="B15" s="150" t="s">
        <v>415</v>
      </c>
      <c r="C15" s="141">
        <f t="shared" si="0"/>
        <v>0.82838464993263139</v>
      </c>
      <c r="D15" s="141">
        <f t="shared" si="0"/>
        <v>0.13166015223205102</v>
      </c>
      <c r="E15" s="141">
        <f t="shared" si="0"/>
        <v>0.13919095258808178</v>
      </c>
      <c r="F15" s="141">
        <f>SUM(C15:E15)</f>
        <v>1.099235754752764</v>
      </c>
      <c r="G15" s="141">
        <f t="shared" si="1"/>
        <v>7.0516490986582123E-2</v>
      </c>
      <c r="H15" s="141">
        <f t="shared" si="1"/>
        <v>0.24983864587453936</v>
      </c>
      <c r="I15" s="141">
        <f t="shared" si="1"/>
        <v>0.70473318473842927</v>
      </c>
      <c r="J15" s="141">
        <f>SUM(G15:I15)</f>
        <v>1.0250883215995508</v>
      </c>
      <c r="K15" s="141">
        <f>C15+D15+E15-G15-H15-I15</f>
        <v>7.414743315321326E-2</v>
      </c>
    </row>
    <row r="18" spans="2:11" x14ac:dyDescent="0.25">
      <c r="B18" s="799" t="s">
        <v>418</v>
      </c>
      <c r="C18" s="126"/>
      <c r="D18" s="126"/>
      <c r="E18" s="126"/>
      <c r="F18" s="128"/>
      <c r="G18" s="129"/>
      <c r="H18" s="128"/>
    </row>
    <row r="19" spans="2:11" ht="15.75" x14ac:dyDescent="0.25">
      <c r="B19" s="800"/>
      <c r="C19" s="801" t="s">
        <v>419</v>
      </c>
      <c r="D19" s="801"/>
      <c r="E19" s="801"/>
      <c r="F19" s="801"/>
      <c r="G19" s="169" t="s">
        <v>420</v>
      </c>
      <c r="H19" s="797" t="s">
        <v>421</v>
      </c>
      <c r="I19" s="798"/>
      <c r="J19" s="170"/>
    </row>
    <row r="20" spans="2:11" x14ac:dyDescent="0.25">
      <c r="B20" s="153" t="s">
        <v>450</v>
      </c>
      <c r="C20" s="171" t="s">
        <v>423</v>
      </c>
      <c r="D20" s="143" t="s">
        <v>424</v>
      </c>
      <c r="E20" s="159" t="s">
        <v>425</v>
      </c>
      <c r="F20" s="143" t="s">
        <v>426</v>
      </c>
      <c r="G20" s="143" t="s">
        <v>427</v>
      </c>
      <c r="H20" s="159" t="s">
        <v>428</v>
      </c>
      <c r="I20" s="143" t="s">
        <v>429</v>
      </c>
    </row>
    <row r="21" spans="2:11" x14ac:dyDescent="0.25">
      <c r="B21" s="153" t="s">
        <v>430</v>
      </c>
      <c r="C21" s="143" t="s">
        <v>431</v>
      </c>
      <c r="D21" s="143" t="s">
        <v>431</v>
      </c>
      <c r="E21" s="143" t="s">
        <v>432</v>
      </c>
      <c r="F21" s="143" t="s">
        <v>433</v>
      </c>
      <c r="G21" s="172" t="s">
        <v>434</v>
      </c>
      <c r="H21" s="158" t="s">
        <v>434</v>
      </c>
      <c r="I21" s="160" t="s">
        <v>434</v>
      </c>
    </row>
    <row r="22" spans="2:11" x14ac:dyDescent="0.25">
      <c r="B22" s="173" t="s">
        <v>435</v>
      </c>
      <c r="C22" s="151">
        <f>Water!F26</f>
        <v>0</v>
      </c>
      <c r="D22" s="151">
        <f>Water!H26</f>
        <v>0</v>
      </c>
      <c r="E22" s="151">
        <f>Water!J26</f>
        <v>0</v>
      </c>
      <c r="F22" s="151">
        <f>Water!L26</f>
        <v>0</v>
      </c>
      <c r="G22" s="151">
        <f>Water!N26</f>
        <v>0</v>
      </c>
      <c r="H22" s="151">
        <f>Water!P26</f>
        <v>0</v>
      </c>
      <c r="I22" s="151">
        <f>Water!R26</f>
        <v>0</v>
      </c>
      <c r="J22" s="129"/>
      <c r="K22" s="129"/>
    </row>
    <row r="23" spans="2:11" x14ac:dyDescent="0.25">
      <c r="B23" s="174"/>
      <c r="C23" s="175"/>
      <c r="D23" s="175"/>
      <c r="E23" s="175"/>
      <c r="F23" s="168"/>
      <c r="G23" s="176"/>
      <c r="H23" s="168"/>
      <c r="I23" s="175"/>
      <c r="J23" s="126"/>
      <c r="K23" s="126"/>
    </row>
    <row r="24" spans="2:11" ht="15.75" x14ac:dyDescent="0.25">
      <c r="B24" s="167"/>
      <c r="C24" s="808" t="s">
        <v>402</v>
      </c>
      <c r="D24" s="808"/>
      <c r="E24" s="808"/>
      <c r="F24" s="808"/>
      <c r="G24" s="809" t="s">
        <v>436</v>
      </c>
      <c r="H24" s="809"/>
      <c r="I24" s="809"/>
      <c r="J24" s="809"/>
    </row>
    <row r="25" spans="2:11" x14ac:dyDescent="0.25">
      <c r="B25" s="153" t="s">
        <v>437</v>
      </c>
      <c r="C25" s="134" t="s">
        <v>405</v>
      </c>
      <c r="D25" s="134" t="s">
        <v>406</v>
      </c>
      <c r="E25" s="134" t="s">
        <v>407</v>
      </c>
      <c r="F25" s="159" t="s">
        <v>364</v>
      </c>
      <c r="G25" s="135" t="s">
        <v>408</v>
      </c>
      <c r="H25" s="136" t="s">
        <v>409</v>
      </c>
      <c r="I25" s="135" t="s">
        <v>410</v>
      </c>
      <c r="J25" s="143" t="s">
        <v>364</v>
      </c>
      <c r="K25" s="143" t="s">
        <v>411</v>
      </c>
    </row>
    <row r="26" spans="2:11" x14ac:dyDescent="0.25">
      <c r="B26" s="161" t="s">
        <v>414</v>
      </c>
      <c r="C26" s="164">
        <f>IF(E4=0, 0,  C14+(0.273*C22*1000+0.233*D22*1000+0.541*I22*1000)/$E4)</f>
        <v>16.600000000000001</v>
      </c>
      <c r="D26" s="164">
        <f>IF(E4=0,0,D14+( 0.12*E22*1000 + 0.099*F22*1000)/$E4)</f>
        <v>1.6</v>
      </c>
      <c r="E26" s="164">
        <f>IF(E4=0,0,E14 + (0.393*G22*1000 + 0.274*H22*1000 )/$E4)</f>
        <v>3.2</v>
      </c>
      <c r="F26" s="163"/>
      <c r="G26" s="164">
        <f>IF(E4=0,0,G14 + ( 0.482*C22*1000 + 0.349 * E22*1000 + 0.607*G22*1000)/$E4)</f>
        <v>2.5</v>
      </c>
      <c r="H26" s="164">
        <f>IF(E4=0,0,H14 + (0.558*D22*1000 + 0.39 * F22*1000)/$E4)</f>
        <v>12</v>
      </c>
      <c r="I26" s="164">
        <f>IF(E4=0,0,I14 + ( 0.726*H22*1000 + 0.459*I22*1000*61.016/17.007)/$E4)</f>
        <v>43</v>
      </c>
      <c r="J26" s="96"/>
      <c r="K26" s="61"/>
    </row>
    <row r="27" spans="2:11" x14ac:dyDescent="0.25">
      <c r="B27" s="150" t="s">
        <v>415</v>
      </c>
      <c r="C27" s="141">
        <f>2*C26/40.078</f>
        <v>0.82838464993263139</v>
      </c>
      <c r="D27" s="141">
        <f>2*D26/24.305</f>
        <v>0.13166015223205102</v>
      </c>
      <c r="E27" s="141">
        <f>1*E26/22.99</f>
        <v>0.13919095258808178</v>
      </c>
      <c r="F27" s="141">
        <f>SUM(C27:E27)</f>
        <v>1.099235754752764</v>
      </c>
      <c r="G27" s="141">
        <f>1*G26/35.4527</f>
        <v>7.0516490986582123E-2</v>
      </c>
      <c r="H27" s="141">
        <f>2*H26/96.062</f>
        <v>0.24983864587453936</v>
      </c>
      <c r="I27" s="141">
        <f>1*I26/61.016</f>
        <v>0.70473318473842927</v>
      </c>
      <c r="J27" s="141">
        <f>SUM(G27:I27)</f>
        <v>1.0250883215995508</v>
      </c>
      <c r="K27" s="141">
        <f>C27+D27+E27-G27-H27-I27</f>
        <v>7.414743315321326E-2</v>
      </c>
    </row>
    <row r="30" spans="2:11" ht="15.75" x14ac:dyDescent="0.25">
      <c r="B30" s="799" t="s">
        <v>451</v>
      </c>
      <c r="C30" s="802" t="s">
        <v>402</v>
      </c>
      <c r="D30" s="803"/>
      <c r="E30" s="804"/>
      <c r="F30" s="805" t="s">
        <v>436</v>
      </c>
      <c r="G30" s="806"/>
      <c r="H30" s="806"/>
      <c r="I30" s="183"/>
      <c r="J30" s="822" t="s">
        <v>452</v>
      </c>
      <c r="K30" s="184"/>
    </row>
    <row r="31" spans="2:11" x14ac:dyDescent="0.25">
      <c r="B31" s="800"/>
      <c r="C31" s="134" t="s">
        <v>405</v>
      </c>
      <c r="D31" s="134" t="s">
        <v>406</v>
      </c>
      <c r="E31" s="134" t="s">
        <v>407</v>
      </c>
      <c r="F31" s="135" t="s">
        <v>408</v>
      </c>
      <c r="G31" s="136" t="s">
        <v>409</v>
      </c>
      <c r="H31" s="135" t="s">
        <v>410</v>
      </c>
      <c r="J31" s="823"/>
    </row>
    <row r="32" spans="2:11" x14ac:dyDescent="0.25">
      <c r="B32" s="161" t="s">
        <v>453</v>
      </c>
      <c r="C32" s="164">
        <f>Mash_Chem!C54</f>
        <v>76.975268447772194</v>
      </c>
      <c r="D32" s="164">
        <f>Mash_Chem!D54</f>
        <v>1.6</v>
      </c>
      <c r="E32" s="164">
        <f>Mash_Chem!E54</f>
        <v>56.192697934058003</v>
      </c>
      <c r="F32" s="164">
        <f>Mash_Chem!G54</f>
        <v>149.34236145086302</v>
      </c>
      <c r="G32" s="164">
        <f>Mash_Chem!H54</f>
        <v>68.431155433596132</v>
      </c>
      <c r="H32" s="164">
        <f>Mash_Chem!I54</f>
        <v>43</v>
      </c>
      <c r="J32" s="141">
        <f>F32/G32</f>
        <v>2.1823738106509261</v>
      </c>
    </row>
    <row r="33" spans="2:10" x14ac:dyDescent="0.25">
      <c r="B33" s="150" t="s">
        <v>454</v>
      </c>
      <c r="C33" s="164">
        <f>C26</f>
        <v>16.600000000000001</v>
      </c>
      <c r="D33" s="164">
        <f>D26</f>
        <v>1.6</v>
      </c>
      <c r="E33" s="164">
        <f>E26</f>
        <v>3.2</v>
      </c>
      <c r="F33" s="164">
        <f>G26</f>
        <v>2.5</v>
      </c>
      <c r="G33" s="164">
        <f>H26</f>
        <v>12</v>
      </c>
      <c r="H33" s="164">
        <f>I26</f>
        <v>43</v>
      </c>
      <c r="J33" s="141">
        <f>F33/G33</f>
        <v>0.20833333333333334</v>
      </c>
    </row>
    <row r="34" spans="2:10" ht="15.75" x14ac:dyDescent="0.25">
      <c r="B34" s="153" t="s">
        <v>455</v>
      </c>
      <c r="C34" s="185">
        <f>(C33*$E4+Mash_Chem!C54*Mash_Chem!$E28   )/( Mash_Chem!$E28+$E4  )</f>
        <v>47.011133916378739</v>
      </c>
      <c r="D34" s="185">
        <f>(D33*$E4+Mash_Chem!D54*Mash_Chem!$E28   )/( Mash_Chem!$E28+$E4  )</f>
        <v>1.6000000000000003</v>
      </c>
      <c r="E34" s="185">
        <f>(E33*$E4+Mash_Chem!E54*Mash_Chem!$E28   )/( Mash_Chem!$E28+$E4  )</f>
        <v>29.892519551394408</v>
      </c>
      <c r="F34" s="185">
        <f>(F33*$E4+Mash_Chem!G54*Mash_Chem!$E28   )/( Mash_Chem!$E28+$E4  )</f>
        <v>76.464767917222673</v>
      </c>
      <c r="G34" s="185">
        <f>(G33*$E4+Mash_Chem!H54*Mash_Chem!$E28   )/( Mash_Chem!$E28+$E4  )</f>
        <v>40.424476926866568</v>
      </c>
      <c r="H34" s="185">
        <f>(H33*$E4+Mash_Chem!I54*Mash_Chem!$E28   )/( Mash_Chem!$E28+$E4  )</f>
        <v>43</v>
      </c>
      <c r="J34" s="166">
        <f>F34/G34</f>
        <v>1.8915462544031909</v>
      </c>
    </row>
  </sheetData>
  <sheetProtection password="CB17" sheet="1"/>
  <mergeCells count="12">
    <mergeCell ref="B2:B3"/>
    <mergeCell ref="C8:F8"/>
    <mergeCell ref="G8:J8"/>
    <mergeCell ref="B18:B19"/>
    <mergeCell ref="C19:F19"/>
    <mergeCell ref="H19:I19"/>
    <mergeCell ref="C24:F24"/>
    <mergeCell ref="G24:J24"/>
    <mergeCell ref="B30:B31"/>
    <mergeCell ref="C30:E30"/>
    <mergeCell ref="F30:H30"/>
    <mergeCell ref="J30:J31"/>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9"/>
  <dimension ref="A1:B192"/>
  <sheetViews>
    <sheetView topLeftCell="A162" workbookViewId="0">
      <selection activeCell="C189" sqref="C189"/>
    </sheetView>
  </sheetViews>
  <sheetFormatPr defaultRowHeight="15" x14ac:dyDescent="0.25"/>
  <cols>
    <col min="1" max="1" width="27.85546875" customWidth="1"/>
    <col min="2" max="2" width="39.28515625" customWidth="1"/>
    <col min="3" max="3" width="16.42578125" customWidth="1"/>
  </cols>
  <sheetData>
    <row r="1" spans="1:2" x14ac:dyDescent="0.25">
      <c r="A1" s="321" t="s">
        <v>1118</v>
      </c>
      <c r="B1" s="321" t="s">
        <v>686</v>
      </c>
    </row>
    <row r="2" spans="1:2" x14ac:dyDescent="0.25">
      <c r="A2" s="321" t="s">
        <v>1119</v>
      </c>
      <c r="B2" s="321" t="s">
        <v>689</v>
      </c>
    </row>
    <row r="3" spans="1:2" x14ac:dyDescent="0.25">
      <c r="A3" s="321" t="s">
        <v>1120</v>
      </c>
      <c r="B3" s="321" t="s">
        <v>509</v>
      </c>
    </row>
    <row r="4" spans="1:2" x14ac:dyDescent="0.25">
      <c r="A4" s="321" t="s">
        <v>1120</v>
      </c>
      <c r="B4" s="321" t="s">
        <v>510</v>
      </c>
    </row>
    <row r="5" spans="1:2" x14ac:dyDescent="0.25">
      <c r="A5" s="321" t="s">
        <v>1120</v>
      </c>
      <c r="B5" s="321" t="s">
        <v>687</v>
      </c>
    </row>
    <row r="6" spans="1:2" x14ac:dyDescent="0.25">
      <c r="A6" s="321" t="s">
        <v>1121</v>
      </c>
      <c r="B6" s="321" t="s">
        <v>501</v>
      </c>
    </row>
    <row r="7" spans="1:2" x14ac:dyDescent="0.25">
      <c r="A7" s="321" t="s">
        <v>1121</v>
      </c>
      <c r="B7" s="321" t="s">
        <v>685</v>
      </c>
    </row>
    <row r="8" spans="1:2" x14ac:dyDescent="0.25">
      <c r="A8" s="321" t="s">
        <v>1122</v>
      </c>
      <c r="B8" s="321" t="s">
        <v>507</v>
      </c>
    </row>
    <row r="9" spans="1:2" x14ac:dyDescent="0.25">
      <c r="A9" s="321" t="s">
        <v>1122</v>
      </c>
      <c r="B9" s="321" t="s">
        <v>685</v>
      </c>
    </row>
    <row r="10" spans="1:2" x14ac:dyDescent="0.25">
      <c r="A10" s="321" t="s">
        <v>1123</v>
      </c>
      <c r="B10" s="321" t="s">
        <v>687</v>
      </c>
    </row>
    <row r="11" spans="1:2" x14ac:dyDescent="0.25">
      <c r="A11" s="321" t="s">
        <v>1124</v>
      </c>
      <c r="B11" s="321" t="s">
        <v>681</v>
      </c>
    </row>
    <row r="12" spans="1:2" x14ac:dyDescent="0.25">
      <c r="A12" s="321" t="s">
        <v>1125</v>
      </c>
      <c r="B12" s="321" t="s">
        <v>679</v>
      </c>
    </row>
    <row r="13" spans="1:2" x14ac:dyDescent="0.25">
      <c r="A13" s="321" t="s">
        <v>1126</v>
      </c>
      <c r="B13" s="321" t="s">
        <v>688</v>
      </c>
    </row>
    <row r="14" spans="1:2" x14ac:dyDescent="0.25">
      <c r="A14" s="321" t="s">
        <v>1127</v>
      </c>
      <c r="B14" s="321" t="s">
        <v>690</v>
      </c>
    </row>
    <row r="15" spans="1:2" x14ac:dyDescent="0.25">
      <c r="A15" s="321" t="s">
        <v>1128</v>
      </c>
      <c r="B15" s="321" t="s">
        <v>689</v>
      </c>
    </row>
    <row r="16" spans="1:2" x14ac:dyDescent="0.25">
      <c r="A16" s="321" t="s">
        <v>1129</v>
      </c>
      <c r="B16" s="321" t="s">
        <v>688</v>
      </c>
    </row>
    <row r="17" spans="1:2" x14ac:dyDescent="0.25">
      <c r="A17" s="321" t="s">
        <v>1130</v>
      </c>
      <c r="B17" s="321" t="s">
        <v>686</v>
      </c>
    </row>
    <row r="18" spans="1:2" x14ac:dyDescent="0.25">
      <c r="A18" s="321" t="s">
        <v>1131</v>
      </c>
      <c r="B18" s="321" t="s">
        <v>688</v>
      </c>
    </row>
    <row r="19" spans="1:2" x14ac:dyDescent="0.25">
      <c r="A19" s="321" t="s">
        <v>1133</v>
      </c>
      <c r="B19" s="321" t="s">
        <v>689</v>
      </c>
    </row>
    <row r="20" spans="1:2" x14ac:dyDescent="0.25">
      <c r="A20" s="321" t="s">
        <v>1134</v>
      </c>
      <c r="B20" s="321" t="s">
        <v>647</v>
      </c>
    </row>
    <row r="21" spans="1:2" x14ac:dyDescent="0.25">
      <c r="A21" s="321" t="s">
        <v>1134</v>
      </c>
      <c r="B21" s="321" t="s">
        <v>681</v>
      </c>
    </row>
    <row r="22" spans="1:2" x14ac:dyDescent="0.25">
      <c r="A22" s="321" t="s">
        <v>1135</v>
      </c>
      <c r="B22" s="321" t="s">
        <v>492</v>
      </c>
    </row>
    <row r="23" spans="1:2" x14ac:dyDescent="0.25">
      <c r="A23" s="321" t="s">
        <v>1136</v>
      </c>
      <c r="B23" s="321" t="s">
        <v>687</v>
      </c>
    </row>
    <row r="24" spans="1:2" x14ac:dyDescent="0.25">
      <c r="A24" s="321" t="s">
        <v>1137</v>
      </c>
      <c r="B24" s="321" t="s">
        <v>686</v>
      </c>
    </row>
    <row r="25" spans="1:2" x14ac:dyDescent="0.25">
      <c r="A25" s="321" t="s">
        <v>1138</v>
      </c>
      <c r="B25" s="321" t="s">
        <v>504</v>
      </c>
    </row>
    <row r="26" spans="1:2" x14ac:dyDescent="0.25">
      <c r="A26" s="321" t="s">
        <v>1138</v>
      </c>
      <c r="B26" s="321" t="s">
        <v>674</v>
      </c>
    </row>
    <row r="27" spans="1:2" x14ac:dyDescent="0.25">
      <c r="A27" s="321" t="s">
        <v>1139</v>
      </c>
      <c r="B27" s="321" t="s">
        <v>675</v>
      </c>
    </row>
    <row r="28" spans="1:2" x14ac:dyDescent="0.25">
      <c r="A28" s="321" t="s">
        <v>1140</v>
      </c>
      <c r="B28" s="321" t="s">
        <v>684</v>
      </c>
    </row>
    <row r="29" spans="1:2" x14ac:dyDescent="0.25">
      <c r="A29" s="321" t="s">
        <v>1141</v>
      </c>
      <c r="B29" s="321" t="s">
        <v>677</v>
      </c>
    </row>
    <row r="30" spans="1:2" x14ac:dyDescent="0.25">
      <c r="A30" s="321" t="s">
        <v>1142</v>
      </c>
      <c r="B30" s="321" t="s">
        <v>678</v>
      </c>
    </row>
    <row r="31" spans="1:2" x14ac:dyDescent="0.25">
      <c r="A31" s="321" t="s">
        <v>1143</v>
      </c>
      <c r="B31" s="321" t="s">
        <v>676</v>
      </c>
    </row>
    <row r="32" spans="1:2" x14ac:dyDescent="0.25">
      <c r="A32" s="321" t="s">
        <v>1144</v>
      </c>
      <c r="B32" s="321" t="s">
        <v>683</v>
      </c>
    </row>
    <row r="33" spans="1:2" x14ac:dyDescent="0.25">
      <c r="A33" s="321" t="s">
        <v>1145</v>
      </c>
      <c r="B33" s="321" t="s">
        <v>686</v>
      </c>
    </row>
    <row r="34" spans="1:2" x14ac:dyDescent="0.25">
      <c r="A34" s="321" t="s">
        <v>1146</v>
      </c>
      <c r="B34" s="321" t="s">
        <v>687</v>
      </c>
    </row>
    <row r="35" spans="1:2" x14ac:dyDescent="0.25">
      <c r="A35" s="321" t="s">
        <v>1147</v>
      </c>
      <c r="B35" s="321" t="s">
        <v>689</v>
      </c>
    </row>
    <row r="36" spans="1:2" x14ac:dyDescent="0.25">
      <c r="A36" s="321" t="s">
        <v>1148</v>
      </c>
      <c r="B36" s="321" t="s">
        <v>686</v>
      </c>
    </row>
    <row r="37" spans="1:2" x14ac:dyDescent="0.25">
      <c r="A37" s="321" t="s">
        <v>1149</v>
      </c>
      <c r="B37" s="321" t="s">
        <v>686</v>
      </c>
    </row>
    <row r="38" spans="1:2" x14ac:dyDescent="0.25">
      <c r="A38" s="321" t="s">
        <v>1152</v>
      </c>
      <c r="B38" s="321" t="s">
        <v>690</v>
      </c>
    </row>
    <row r="39" spans="1:2" x14ac:dyDescent="0.25">
      <c r="A39" s="321" t="s">
        <v>1154</v>
      </c>
      <c r="B39" s="321" t="s">
        <v>504</v>
      </c>
    </row>
    <row r="40" spans="1:2" x14ac:dyDescent="0.25">
      <c r="A40" s="321" t="s">
        <v>1154</v>
      </c>
      <c r="B40" s="321" t="s">
        <v>674</v>
      </c>
    </row>
    <row r="41" spans="1:2" x14ac:dyDescent="0.25">
      <c r="A41" s="321" t="s">
        <v>1156</v>
      </c>
      <c r="B41" s="321" t="s">
        <v>685</v>
      </c>
    </row>
    <row r="42" spans="1:2" x14ac:dyDescent="0.25">
      <c r="A42" s="321" t="s">
        <v>1157</v>
      </c>
      <c r="B42" s="321" t="s">
        <v>686</v>
      </c>
    </row>
    <row r="43" spans="1:2" x14ac:dyDescent="0.25">
      <c r="A43" s="321" t="s">
        <v>1158</v>
      </c>
      <c r="B43" s="321" t="s">
        <v>684</v>
      </c>
    </row>
    <row r="44" spans="1:2" x14ac:dyDescent="0.25">
      <c r="A44" s="321" t="s">
        <v>1159</v>
      </c>
      <c r="B44" s="321" t="s">
        <v>680</v>
      </c>
    </row>
    <row r="45" spans="1:2" x14ac:dyDescent="0.25">
      <c r="A45" s="321" t="s">
        <v>1160</v>
      </c>
      <c r="B45" s="321" t="s">
        <v>678</v>
      </c>
    </row>
    <row r="46" spans="1:2" x14ac:dyDescent="0.25">
      <c r="A46" s="321" t="s">
        <v>1161</v>
      </c>
      <c r="B46" s="321" t="s">
        <v>682</v>
      </c>
    </row>
    <row r="47" spans="1:2" x14ac:dyDescent="0.25">
      <c r="A47" s="321" t="s">
        <v>1162</v>
      </c>
      <c r="B47" s="321" t="s">
        <v>677</v>
      </c>
    </row>
    <row r="48" spans="1:2" x14ac:dyDescent="0.25">
      <c r="A48" s="321" t="s">
        <v>1163</v>
      </c>
      <c r="B48" s="321" t="s">
        <v>680</v>
      </c>
    </row>
    <row r="49" spans="1:2" x14ac:dyDescent="0.25">
      <c r="A49" s="321" t="s">
        <v>1164</v>
      </c>
      <c r="B49" s="321" t="s">
        <v>509</v>
      </c>
    </row>
    <row r="50" spans="1:2" x14ac:dyDescent="0.25">
      <c r="A50" s="321" t="s">
        <v>1164</v>
      </c>
      <c r="B50" s="321" t="s">
        <v>510</v>
      </c>
    </row>
    <row r="51" spans="1:2" x14ac:dyDescent="0.25">
      <c r="A51" s="321" t="s">
        <v>1164</v>
      </c>
      <c r="B51" s="321" t="s">
        <v>687</v>
      </c>
    </row>
    <row r="52" spans="1:2" x14ac:dyDescent="0.25">
      <c r="A52" s="321" t="s">
        <v>1165</v>
      </c>
      <c r="B52" s="321" t="s">
        <v>686</v>
      </c>
    </row>
    <row r="53" spans="1:2" x14ac:dyDescent="0.25">
      <c r="A53" s="321" t="s">
        <v>1166</v>
      </c>
      <c r="B53" s="321" t="s">
        <v>687</v>
      </c>
    </row>
    <row r="54" spans="1:2" x14ac:dyDescent="0.25">
      <c r="A54" s="321" t="s">
        <v>1167</v>
      </c>
      <c r="B54" s="321" t="s">
        <v>675</v>
      </c>
    </row>
    <row r="55" spans="1:2" x14ac:dyDescent="0.25">
      <c r="A55" s="321" t="s">
        <v>1168</v>
      </c>
      <c r="B55" s="321" t="s">
        <v>503</v>
      </c>
    </row>
    <row r="56" spans="1:2" x14ac:dyDescent="0.25">
      <c r="A56" s="321" t="s">
        <v>1168</v>
      </c>
      <c r="B56" s="321" t="s">
        <v>689</v>
      </c>
    </row>
    <row r="57" spans="1:2" x14ac:dyDescent="0.25">
      <c r="A57" s="321" t="s">
        <v>1169</v>
      </c>
      <c r="B57" s="321" t="s">
        <v>674</v>
      </c>
    </row>
    <row r="58" spans="1:2" x14ac:dyDescent="0.25">
      <c r="A58" s="321" t="s">
        <v>1170</v>
      </c>
      <c r="B58" s="321" t="s">
        <v>687</v>
      </c>
    </row>
    <row r="59" spans="1:2" x14ac:dyDescent="0.25">
      <c r="A59" s="321" t="s">
        <v>1171</v>
      </c>
      <c r="B59" s="321" t="s">
        <v>686</v>
      </c>
    </row>
    <row r="60" spans="1:2" x14ac:dyDescent="0.25">
      <c r="A60" s="321" t="s">
        <v>1172</v>
      </c>
      <c r="B60" s="321" t="s">
        <v>690</v>
      </c>
    </row>
    <row r="61" spans="1:2" x14ac:dyDescent="0.25">
      <c r="A61" s="321" t="s">
        <v>1173</v>
      </c>
      <c r="B61" s="321" t="s">
        <v>685</v>
      </c>
    </row>
    <row r="62" spans="1:2" x14ac:dyDescent="0.25">
      <c r="A62" s="321" t="s">
        <v>1174</v>
      </c>
      <c r="B62" s="321" t="s">
        <v>677</v>
      </c>
    </row>
    <row r="63" spans="1:2" x14ac:dyDescent="0.25">
      <c r="A63" s="321" t="s">
        <v>1175</v>
      </c>
      <c r="B63" s="321" t="s">
        <v>682</v>
      </c>
    </row>
    <row r="64" spans="1:2" x14ac:dyDescent="0.25">
      <c r="A64" s="321" t="s">
        <v>1176</v>
      </c>
      <c r="B64" s="321" t="s">
        <v>682</v>
      </c>
    </row>
    <row r="65" spans="1:2" x14ac:dyDescent="0.25">
      <c r="A65" s="321" t="s">
        <v>1177</v>
      </c>
      <c r="B65" s="321" t="s">
        <v>682</v>
      </c>
    </row>
    <row r="66" spans="1:2" x14ac:dyDescent="0.25">
      <c r="A66" s="321" t="s">
        <v>1178</v>
      </c>
      <c r="B66" s="321" t="s">
        <v>509</v>
      </c>
    </row>
    <row r="67" spans="1:2" x14ac:dyDescent="0.25">
      <c r="A67" s="321" t="s">
        <v>1178</v>
      </c>
      <c r="B67" s="321" t="s">
        <v>510</v>
      </c>
    </row>
    <row r="68" spans="1:2" x14ac:dyDescent="0.25">
      <c r="A68" s="321" t="s">
        <v>1178</v>
      </c>
      <c r="B68" s="321" t="s">
        <v>683</v>
      </c>
    </row>
    <row r="69" spans="1:2" x14ac:dyDescent="0.25">
      <c r="A69" s="321" t="s">
        <v>1179</v>
      </c>
      <c r="B69" s="321" t="s">
        <v>681</v>
      </c>
    </row>
    <row r="70" spans="1:2" x14ac:dyDescent="0.25">
      <c r="A70" s="321" t="s">
        <v>1180</v>
      </c>
      <c r="B70" s="321" t="s">
        <v>680</v>
      </c>
    </row>
    <row r="71" spans="1:2" x14ac:dyDescent="0.25">
      <c r="A71" s="321" t="s">
        <v>1181</v>
      </c>
      <c r="B71" s="321" t="s">
        <v>681</v>
      </c>
    </row>
    <row r="72" spans="1:2" x14ac:dyDescent="0.25">
      <c r="A72" s="321" t="s">
        <v>1183</v>
      </c>
      <c r="B72" s="321" t="s">
        <v>689</v>
      </c>
    </row>
    <row r="73" spans="1:2" x14ac:dyDescent="0.25">
      <c r="A73" s="321" t="s">
        <v>1184</v>
      </c>
      <c r="B73" s="321" t="s">
        <v>506</v>
      </c>
    </row>
    <row r="74" spans="1:2" x14ac:dyDescent="0.25">
      <c r="A74" s="321" t="s">
        <v>1184</v>
      </c>
      <c r="B74" s="321" t="s">
        <v>687</v>
      </c>
    </row>
    <row r="75" spans="1:2" x14ac:dyDescent="0.25">
      <c r="A75" s="321" t="s">
        <v>1185</v>
      </c>
      <c r="B75" s="321" t="s">
        <v>678</v>
      </c>
    </row>
    <row r="76" spans="1:2" x14ac:dyDescent="0.25">
      <c r="A76" s="321" t="s">
        <v>1186</v>
      </c>
      <c r="B76" s="321" t="s">
        <v>498</v>
      </c>
    </row>
    <row r="77" spans="1:2" x14ac:dyDescent="0.25">
      <c r="A77" s="321" t="s">
        <v>1186</v>
      </c>
      <c r="B77" s="321" t="s">
        <v>675</v>
      </c>
    </row>
    <row r="78" spans="1:2" x14ac:dyDescent="0.25">
      <c r="A78" s="321" t="s">
        <v>1187</v>
      </c>
      <c r="B78" s="321" t="s">
        <v>684</v>
      </c>
    </row>
    <row r="79" spans="1:2" x14ac:dyDescent="0.25">
      <c r="A79" s="321" t="s">
        <v>1188</v>
      </c>
      <c r="B79" s="321" t="s">
        <v>690</v>
      </c>
    </row>
    <row r="80" spans="1:2" x14ac:dyDescent="0.25">
      <c r="A80" s="321" t="s">
        <v>1189</v>
      </c>
      <c r="B80" s="321" t="s">
        <v>684</v>
      </c>
    </row>
    <row r="81" spans="1:2" x14ac:dyDescent="0.25">
      <c r="A81" s="321" t="s">
        <v>1207</v>
      </c>
      <c r="B81" s="321" t="s">
        <v>686</v>
      </c>
    </row>
    <row r="82" spans="1:2" x14ac:dyDescent="0.25">
      <c r="A82" s="321" t="s">
        <v>332</v>
      </c>
      <c r="B82" s="321" t="s">
        <v>686</v>
      </c>
    </row>
    <row r="83" spans="1:2" x14ac:dyDescent="0.25">
      <c r="A83" s="321" t="s">
        <v>343</v>
      </c>
      <c r="B83" s="321" t="s">
        <v>689</v>
      </c>
    </row>
    <row r="84" spans="1:2" x14ac:dyDescent="0.25">
      <c r="A84" s="321" t="s">
        <v>496</v>
      </c>
      <c r="B84" s="321" t="s">
        <v>509</v>
      </c>
    </row>
    <row r="85" spans="1:2" x14ac:dyDescent="0.25">
      <c r="A85" s="321" t="s">
        <v>496</v>
      </c>
      <c r="B85" s="321" t="s">
        <v>510</v>
      </c>
    </row>
    <row r="86" spans="1:2" x14ac:dyDescent="0.25">
      <c r="A86" s="321" t="s">
        <v>496</v>
      </c>
      <c r="B86" s="321" t="s">
        <v>687</v>
      </c>
    </row>
    <row r="87" spans="1:2" x14ac:dyDescent="0.25">
      <c r="A87" s="321" t="s">
        <v>500</v>
      </c>
      <c r="B87" s="321" t="s">
        <v>501</v>
      </c>
    </row>
    <row r="88" spans="1:2" x14ac:dyDescent="0.25">
      <c r="A88" s="321" t="s">
        <v>500</v>
      </c>
      <c r="B88" s="321" t="s">
        <v>685</v>
      </c>
    </row>
    <row r="89" spans="1:2" x14ac:dyDescent="0.25">
      <c r="A89" s="321" t="s">
        <v>1191</v>
      </c>
      <c r="B89" s="321" t="s">
        <v>504</v>
      </c>
    </row>
    <row r="90" spans="1:2" x14ac:dyDescent="0.25">
      <c r="A90" s="321" t="s">
        <v>1191</v>
      </c>
      <c r="B90" s="321" t="s">
        <v>674</v>
      </c>
    </row>
    <row r="91" spans="1:2" x14ac:dyDescent="0.25">
      <c r="A91" s="321" t="s">
        <v>1190</v>
      </c>
      <c r="B91" s="321" t="s">
        <v>680</v>
      </c>
    </row>
    <row r="92" spans="1:2" x14ac:dyDescent="0.25">
      <c r="A92" s="321" t="s">
        <v>505</v>
      </c>
      <c r="B92" s="321" t="s">
        <v>507</v>
      </c>
    </row>
    <row r="93" spans="1:2" x14ac:dyDescent="0.25">
      <c r="A93" s="321" t="s">
        <v>505</v>
      </c>
      <c r="B93" s="321" t="s">
        <v>685</v>
      </c>
    </row>
    <row r="94" spans="1:2" x14ac:dyDescent="0.25">
      <c r="A94" s="321" t="s">
        <v>1231</v>
      </c>
      <c r="B94" s="321" t="s">
        <v>687</v>
      </c>
    </row>
    <row r="95" spans="1:2" x14ac:dyDescent="0.25">
      <c r="A95" s="321" t="s">
        <v>336</v>
      </c>
      <c r="B95" s="321" t="s">
        <v>687</v>
      </c>
    </row>
    <row r="96" spans="1:2" x14ac:dyDescent="0.25">
      <c r="A96" s="321" t="s">
        <v>1240</v>
      </c>
      <c r="B96" s="321" t="s">
        <v>689</v>
      </c>
    </row>
    <row r="97" spans="1:2" x14ac:dyDescent="0.25">
      <c r="A97" s="321" t="s">
        <v>1192</v>
      </c>
      <c r="B97" s="321" t="s">
        <v>681</v>
      </c>
    </row>
    <row r="98" spans="1:2" x14ac:dyDescent="0.25">
      <c r="A98" s="321" t="s">
        <v>1218</v>
      </c>
      <c r="B98" s="321" t="s">
        <v>674</v>
      </c>
    </row>
    <row r="99" spans="1:2" x14ac:dyDescent="0.25">
      <c r="A99" s="321" t="s">
        <v>333</v>
      </c>
      <c r="B99" s="321" t="s">
        <v>679</v>
      </c>
    </row>
    <row r="100" spans="1:2" x14ac:dyDescent="0.25">
      <c r="A100" s="321" t="s">
        <v>663</v>
      </c>
      <c r="B100" s="321" t="s">
        <v>688</v>
      </c>
    </row>
    <row r="101" spans="1:2" x14ac:dyDescent="0.25">
      <c r="A101" s="321" t="s">
        <v>342</v>
      </c>
      <c r="B101" s="321" t="s">
        <v>690</v>
      </c>
    </row>
    <row r="102" spans="1:2" x14ac:dyDescent="0.25">
      <c r="A102" s="321" t="s">
        <v>664</v>
      </c>
      <c r="B102" s="321" t="s">
        <v>689</v>
      </c>
    </row>
    <row r="103" spans="1:2" x14ac:dyDescent="0.25">
      <c r="A103" s="321" t="s">
        <v>341</v>
      </c>
      <c r="B103" s="321" t="s">
        <v>688</v>
      </c>
    </row>
    <row r="104" spans="1:2" x14ac:dyDescent="0.25">
      <c r="A104" s="321" t="s">
        <v>1233</v>
      </c>
      <c r="B104" s="321" t="s">
        <v>685</v>
      </c>
    </row>
    <row r="105" spans="1:2" x14ac:dyDescent="0.25">
      <c r="A105" s="321" t="s">
        <v>338</v>
      </c>
      <c r="B105" s="321" t="s">
        <v>685</v>
      </c>
    </row>
    <row r="106" spans="1:2" x14ac:dyDescent="0.25">
      <c r="A106" s="319" t="s">
        <v>340</v>
      </c>
      <c r="B106" s="321" t="s">
        <v>688</v>
      </c>
    </row>
    <row r="107" spans="1:2" x14ac:dyDescent="0.25">
      <c r="A107" s="319" t="s">
        <v>1242</v>
      </c>
      <c r="B107" s="321" t="s">
        <v>1264</v>
      </c>
    </row>
    <row r="108" spans="1:2" x14ac:dyDescent="0.25">
      <c r="A108" s="319" t="s">
        <v>1242</v>
      </c>
      <c r="B108" s="321" t="s">
        <v>681</v>
      </c>
    </row>
    <row r="109" spans="1:2" x14ac:dyDescent="0.25">
      <c r="A109" s="319" t="s">
        <v>1215</v>
      </c>
      <c r="B109" s="321" t="s">
        <v>686</v>
      </c>
    </row>
    <row r="110" spans="1:2" x14ac:dyDescent="0.25">
      <c r="A110" s="319" t="s">
        <v>339</v>
      </c>
      <c r="B110" s="321" t="s">
        <v>689</v>
      </c>
    </row>
    <row r="111" spans="1:2" x14ac:dyDescent="0.25">
      <c r="A111" s="319" t="s">
        <v>1234</v>
      </c>
      <c r="B111" s="321" t="s">
        <v>685</v>
      </c>
    </row>
    <row r="112" spans="1:2" x14ac:dyDescent="0.25">
      <c r="A112" s="319" t="s">
        <v>648</v>
      </c>
      <c r="B112" s="321" t="s">
        <v>647</v>
      </c>
    </row>
    <row r="113" spans="1:2" x14ac:dyDescent="0.25">
      <c r="A113" s="319" t="s">
        <v>648</v>
      </c>
      <c r="B113" s="321" t="s">
        <v>681</v>
      </c>
    </row>
    <row r="114" spans="1:2" x14ac:dyDescent="0.25">
      <c r="A114" s="319" t="s">
        <v>1220</v>
      </c>
      <c r="B114" s="321" t="s">
        <v>509</v>
      </c>
    </row>
    <row r="115" spans="1:2" x14ac:dyDescent="0.25">
      <c r="A115" s="319" t="s">
        <v>1220</v>
      </c>
      <c r="B115" s="321" t="s">
        <v>510</v>
      </c>
    </row>
    <row r="116" spans="1:2" x14ac:dyDescent="0.25">
      <c r="A116" s="319" t="s">
        <v>1220</v>
      </c>
      <c r="B116" s="321" t="s">
        <v>687</v>
      </c>
    </row>
    <row r="117" spans="1:2" x14ac:dyDescent="0.25">
      <c r="A117" s="319" t="s">
        <v>1217</v>
      </c>
      <c r="B117" s="321" t="s">
        <v>681</v>
      </c>
    </row>
    <row r="118" spans="1:2" x14ac:dyDescent="0.25">
      <c r="A118" s="319" t="s">
        <v>1228</v>
      </c>
      <c r="B118" s="321" t="s">
        <v>689</v>
      </c>
    </row>
    <row r="119" spans="1:2" x14ac:dyDescent="0.25">
      <c r="A119" s="319" t="s">
        <v>1235</v>
      </c>
      <c r="B119" s="321" t="s">
        <v>685</v>
      </c>
    </row>
    <row r="120" spans="1:2" x14ac:dyDescent="0.25">
      <c r="A120" s="319" t="s">
        <v>1230</v>
      </c>
      <c r="B120" s="321" t="s">
        <v>686</v>
      </c>
    </row>
    <row r="121" spans="1:2" x14ac:dyDescent="0.25">
      <c r="A121" s="319" t="s">
        <v>665</v>
      </c>
      <c r="B121" s="321" t="s">
        <v>684</v>
      </c>
    </row>
    <row r="122" spans="1:2" x14ac:dyDescent="0.25">
      <c r="A122" s="319" t="s">
        <v>1198</v>
      </c>
      <c r="B122" s="321" t="s">
        <v>675</v>
      </c>
    </row>
    <row r="123" spans="1:2" x14ac:dyDescent="0.25">
      <c r="A123" s="319" t="s">
        <v>1199</v>
      </c>
      <c r="B123" s="321" t="s">
        <v>677</v>
      </c>
    </row>
    <row r="124" spans="1:2" x14ac:dyDescent="0.25">
      <c r="A124" s="319" t="s">
        <v>1196</v>
      </c>
      <c r="B124" s="321" t="s">
        <v>492</v>
      </c>
    </row>
    <row r="125" spans="1:2" x14ac:dyDescent="0.25">
      <c r="A125" s="319" t="s">
        <v>1197</v>
      </c>
      <c r="B125" s="321" t="s">
        <v>492</v>
      </c>
    </row>
    <row r="126" spans="1:2" x14ac:dyDescent="0.25">
      <c r="A126" s="319" t="s">
        <v>1219</v>
      </c>
      <c r="B126" s="321" t="s">
        <v>682</v>
      </c>
    </row>
    <row r="127" spans="1:2" x14ac:dyDescent="0.25">
      <c r="A127" s="319" t="s">
        <v>666</v>
      </c>
      <c r="B127" s="321" t="s">
        <v>678</v>
      </c>
    </row>
    <row r="128" spans="1:2" x14ac:dyDescent="0.25">
      <c r="A128" s="319" t="s">
        <v>1239</v>
      </c>
      <c r="B128" s="321" t="s">
        <v>685</v>
      </c>
    </row>
    <row r="129" spans="1:2" x14ac:dyDescent="0.25">
      <c r="A129" s="319" t="s">
        <v>1206</v>
      </c>
      <c r="B129" s="321" t="s">
        <v>679</v>
      </c>
    </row>
    <row r="130" spans="1:2" x14ac:dyDescent="0.25">
      <c r="A130" s="319" t="s">
        <v>1213</v>
      </c>
      <c r="B130" s="321" t="s">
        <v>687</v>
      </c>
    </row>
    <row r="131" spans="1:2" x14ac:dyDescent="0.25">
      <c r="A131" s="319" t="s">
        <v>1211</v>
      </c>
      <c r="B131" s="321" t="s">
        <v>678</v>
      </c>
    </row>
    <row r="132" spans="1:2" x14ac:dyDescent="0.25">
      <c r="A132" s="319" t="s">
        <v>667</v>
      </c>
      <c r="B132" s="321" t="s">
        <v>689</v>
      </c>
    </row>
    <row r="133" spans="1:2" x14ac:dyDescent="0.25">
      <c r="A133" s="319" t="s">
        <v>668</v>
      </c>
      <c r="B133" s="321" t="s">
        <v>686</v>
      </c>
    </row>
    <row r="134" spans="1:2" x14ac:dyDescent="0.25">
      <c r="A134" s="319" t="s">
        <v>1221</v>
      </c>
      <c r="B134" s="321" t="s">
        <v>687</v>
      </c>
    </row>
    <row r="135" spans="1:2" x14ac:dyDescent="0.25">
      <c r="A135" s="319" t="s">
        <v>1200</v>
      </c>
      <c r="B135" s="321" t="s">
        <v>680</v>
      </c>
    </row>
    <row r="136" spans="1:2" x14ac:dyDescent="0.25">
      <c r="A136" s="319" t="s">
        <v>335</v>
      </c>
      <c r="B136" s="321" t="s">
        <v>690</v>
      </c>
    </row>
    <row r="137" spans="1:2" x14ac:dyDescent="0.25">
      <c r="A137" s="319" t="s">
        <v>1203</v>
      </c>
      <c r="B137" s="321" t="s">
        <v>674</v>
      </c>
    </row>
    <row r="138" spans="1:2" x14ac:dyDescent="0.25">
      <c r="A138" s="319" t="s">
        <v>1202</v>
      </c>
      <c r="B138" s="321" t="s">
        <v>681</v>
      </c>
    </row>
    <row r="139" spans="1:2" x14ac:dyDescent="0.25">
      <c r="A139" s="319" t="s">
        <v>101</v>
      </c>
      <c r="B139" s="321" t="s">
        <v>504</v>
      </c>
    </row>
    <row r="140" spans="1:2" x14ac:dyDescent="0.25">
      <c r="A140" s="319" t="s">
        <v>101</v>
      </c>
      <c r="B140" s="321" t="s">
        <v>674</v>
      </c>
    </row>
    <row r="141" spans="1:2" x14ac:dyDescent="0.25">
      <c r="A141" s="319" t="s">
        <v>1201</v>
      </c>
      <c r="B141" s="321" t="s">
        <v>678</v>
      </c>
    </row>
    <row r="142" spans="1:2" x14ac:dyDescent="0.25">
      <c r="A142" s="319" t="s">
        <v>1232</v>
      </c>
      <c r="B142" s="321" t="s">
        <v>690</v>
      </c>
    </row>
    <row r="143" spans="1:2" x14ac:dyDescent="0.25">
      <c r="A143" s="319" t="s">
        <v>1194</v>
      </c>
      <c r="B143" s="321" t="s">
        <v>675</v>
      </c>
    </row>
    <row r="144" spans="1:2" x14ac:dyDescent="0.25">
      <c r="A144" s="319" t="s">
        <v>1195</v>
      </c>
      <c r="B144" s="321" t="s">
        <v>677</v>
      </c>
    </row>
    <row r="145" spans="1:2" x14ac:dyDescent="0.25">
      <c r="A145" s="319" t="s">
        <v>1193</v>
      </c>
      <c r="B145" s="321" t="s">
        <v>674</v>
      </c>
    </row>
    <row r="146" spans="1:2" x14ac:dyDescent="0.25">
      <c r="A146" s="319" t="s">
        <v>1226</v>
      </c>
      <c r="B146" s="321" t="s">
        <v>687</v>
      </c>
    </row>
    <row r="147" spans="1:2" x14ac:dyDescent="0.25">
      <c r="A147" s="319" t="s">
        <v>669</v>
      </c>
      <c r="B147" s="321" t="s">
        <v>686</v>
      </c>
    </row>
    <row r="148" spans="1:2" x14ac:dyDescent="0.25">
      <c r="A148" s="319" t="s">
        <v>1225</v>
      </c>
      <c r="B148" s="321" t="s">
        <v>683</v>
      </c>
    </row>
    <row r="149" spans="1:2" x14ac:dyDescent="0.25">
      <c r="A149" s="319" t="s">
        <v>1209</v>
      </c>
      <c r="B149" s="321" t="s">
        <v>675</v>
      </c>
    </row>
    <row r="150" spans="1:2" x14ac:dyDescent="0.25">
      <c r="A150" s="319" t="s">
        <v>1208</v>
      </c>
      <c r="B150" s="321" t="s">
        <v>674</v>
      </c>
    </row>
    <row r="151" spans="1:2" x14ac:dyDescent="0.25">
      <c r="A151" s="319" t="s">
        <v>1256</v>
      </c>
      <c r="B151" s="321" t="s">
        <v>686</v>
      </c>
    </row>
    <row r="152" spans="1:2" x14ac:dyDescent="0.25">
      <c r="A152" s="319" t="s">
        <v>670</v>
      </c>
      <c r="B152" s="321" t="s">
        <v>684</v>
      </c>
    </row>
    <row r="153" spans="1:2" x14ac:dyDescent="0.25">
      <c r="A153" s="319" t="s">
        <v>1257</v>
      </c>
      <c r="B153" s="321" t="s">
        <v>681</v>
      </c>
    </row>
    <row r="154" spans="1:2" x14ac:dyDescent="0.25">
      <c r="A154" s="319" t="s">
        <v>1258</v>
      </c>
      <c r="B154" s="321" t="s">
        <v>683</v>
      </c>
    </row>
    <row r="155" spans="1:2" x14ac:dyDescent="0.25">
      <c r="A155" s="319" t="s">
        <v>1204</v>
      </c>
      <c r="B155" s="321" t="s">
        <v>675</v>
      </c>
    </row>
    <row r="156" spans="1:2" x14ac:dyDescent="0.25">
      <c r="A156" s="319" t="s">
        <v>671</v>
      </c>
      <c r="B156" s="321" t="s">
        <v>677</v>
      </c>
    </row>
    <row r="157" spans="1:2" x14ac:dyDescent="0.25">
      <c r="A157" s="319" t="s">
        <v>315</v>
      </c>
      <c r="B157" s="321" t="s">
        <v>680</v>
      </c>
    </row>
    <row r="158" spans="1:2" x14ac:dyDescent="0.25">
      <c r="A158" s="319" t="s">
        <v>672</v>
      </c>
      <c r="B158" s="321" t="s">
        <v>687</v>
      </c>
    </row>
    <row r="159" spans="1:2" x14ac:dyDescent="0.25">
      <c r="A159" s="319" t="s">
        <v>502</v>
      </c>
      <c r="B159" s="321" t="s">
        <v>503</v>
      </c>
    </row>
    <row r="160" spans="1:2" x14ac:dyDescent="0.25">
      <c r="A160" s="319" t="s">
        <v>502</v>
      </c>
      <c r="B160" s="321" t="s">
        <v>689</v>
      </c>
    </row>
    <row r="161" spans="1:2" x14ac:dyDescent="0.25">
      <c r="A161" s="319" t="s">
        <v>1214</v>
      </c>
      <c r="B161" s="321" t="s">
        <v>681</v>
      </c>
    </row>
    <row r="162" spans="1:2" x14ac:dyDescent="0.25">
      <c r="A162" s="319" t="s">
        <v>1259</v>
      </c>
      <c r="B162" s="321" t="s">
        <v>681</v>
      </c>
    </row>
    <row r="163" spans="1:2" x14ac:dyDescent="0.25">
      <c r="A163" s="319" t="s">
        <v>1260</v>
      </c>
      <c r="B163" s="321" t="s">
        <v>674</v>
      </c>
    </row>
    <row r="164" spans="1:2" x14ac:dyDescent="0.25">
      <c r="A164" s="319" t="s">
        <v>1261</v>
      </c>
      <c r="B164" s="321" t="s">
        <v>687</v>
      </c>
    </row>
    <row r="165" spans="1:2" x14ac:dyDescent="0.25">
      <c r="A165" s="319" t="s">
        <v>1205</v>
      </c>
      <c r="B165" s="321" t="s">
        <v>675</v>
      </c>
    </row>
    <row r="166" spans="1:2" x14ac:dyDescent="0.25">
      <c r="A166" s="319" t="s">
        <v>1236</v>
      </c>
      <c r="B166" s="321" t="s">
        <v>685</v>
      </c>
    </row>
    <row r="167" spans="1:2" x14ac:dyDescent="0.25">
      <c r="A167" s="319" t="s">
        <v>1262</v>
      </c>
      <c r="B167" s="321" t="s">
        <v>686</v>
      </c>
    </row>
    <row r="168" spans="1:2" x14ac:dyDescent="0.25">
      <c r="A168" s="319" t="s">
        <v>1237</v>
      </c>
      <c r="B168" s="321" t="s">
        <v>685</v>
      </c>
    </row>
    <row r="169" spans="1:2" x14ac:dyDescent="0.25">
      <c r="A169" s="319" t="s">
        <v>1263</v>
      </c>
      <c r="B169" s="321" t="s">
        <v>688</v>
      </c>
    </row>
    <row r="170" spans="1:2" x14ac:dyDescent="0.25">
      <c r="A170" s="319" t="s">
        <v>1251</v>
      </c>
      <c r="B170" s="321" t="s">
        <v>687</v>
      </c>
    </row>
    <row r="171" spans="1:2" x14ac:dyDescent="0.25">
      <c r="A171" s="319" t="s">
        <v>1253</v>
      </c>
      <c r="B171" s="321" t="s">
        <v>690</v>
      </c>
    </row>
    <row r="172" spans="1:2" x14ac:dyDescent="0.25">
      <c r="A172" s="319" t="s">
        <v>1249</v>
      </c>
      <c r="B172" s="321" t="s">
        <v>683</v>
      </c>
    </row>
    <row r="173" spans="1:2" x14ac:dyDescent="0.25">
      <c r="A173" s="319" t="s">
        <v>1250</v>
      </c>
      <c r="B173" s="321" t="s">
        <v>685</v>
      </c>
    </row>
    <row r="174" spans="1:2" x14ac:dyDescent="0.25">
      <c r="A174" s="319" t="s">
        <v>1252</v>
      </c>
      <c r="B174" s="321" t="s">
        <v>688</v>
      </c>
    </row>
    <row r="175" spans="1:2" x14ac:dyDescent="0.25">
      <c r="A175" s="319" t="s">
        <v>1248</v>
      </c>
      <c r="B175" s="321" t="s">
        <v>681</v>
      </c>
    </row>
    <row r="176" spans="1:2" x14ac:dyDescent="0.25">
      <c r="A176" s="319" t="s">
        <v>1210</v>
      </c>
      <c r="B176" s="321" t="s">
        <v>677</v>
      </c>
    </row>
    <row r="177" spans="1:2" x14ac:dyDescent="0.25">
      <c r="A177" s="319" t="s">
        <v>1224</v>
      </c>
      <c r="B177" s="321" t="s">
        <v>686</v>
      </c>
    </row>
    <row r="178" spans="1:2" x14ac:dyDescent="0.25">
      <c r="A178" s="319" t="s">
        <v>1223</v>
      </c>
      <c r="B178" s="321" t="s">
        <v>682</v>
      </c>
    </row>
    <row r="179" spans="1:2" x14ac:dyDescent="0.25">
      <c r="A179" s="319" t="s">
        <v>1222</v>
      </c>
      <c r="B179" s="321" t="s">
        <v>682</v>
      </c>
    </row>
    <row r="180" spans="1:2" x14ac:dyDescent="0.25">
      <c r="A180" s="319" t="s">
        <v>1216</v>
      </c>
      <c r="B180" s="321" t="s">
        <v>686</v>
      </c>
    </row>
    <row r="181" spans="1:2" x14ac:dyDescent="0.25">
      <c r="A181" s="319" t="s">
        <v>334</v>
      </c>
      <c r="B181" s="321" t="s">
        <v>506</v>
      </c>
    </row>
    <row r="182" spans="1:2" x14ac:dyDescent="0.25">
      <c r="A182" s="319" t="s">
        <v>334</v>
      </c>
      <c r="B182" s="321" t="s">
        <v>687</v>
      </c>
    </row>
    <row r="183" spans="1:2" x14ac:dyDescent="0.25">
      <c r="A183" s="319" t="s">
        <v>1254</v>
      </c>
      <c r="B183" s="321" t="s">
        <v>685</v>
      </c>
    </row>
    <row r="184" spans="1:2" x14ac:dyDescent="0.25">
      <c r="A184" s="319" t="s">
        <v>1227</v>
      </c>
      <c r="B184" s="321" t="s">
        <v>679</v>
      </c>
    </row>
    <row r="185" spans="1:2" x14ac:dyDescent="0.25">
      <c r="A185" s="319" t="s">
        <v>497</v>
      </c>
      <c r="B185" s="321" t="s">
        <v>498</v>
      </c>
    </row>
    <row r="186" spans="1:2" x14ac:dyDescent="0.25">
      <c r="A186" s="319" t="s">
        <v>497</v>
      </c>
      <c r="B186" s="321" t="s">
        <v>675</v>
      </c>
    </row>
    <row r="187" spans="1:2" x14ac:dyDescent="0.25">
      <c r="A187" s="319" t="s">
        <v>1229</v>
      </c>
      <c r="B187" s="321" t="s">
        <v>689</v>
      </c>
    </row>
    <row r="188" spans="1:2" x14ac:dyDescent="0.25">
      <c r="A188" s="319" t="s">
        <v>1212</v>
      </c>
      <c r="B188" s="321" t="s">
        <v>684</v>
      </c>
    </row>
    <row r="189" spans="1:2" x14ac:dyDescent="0.25">
      <c r="A189" s="319" t="s">
        <v>337</v>
      </c>
      <c r="B189" s="321" t="s">
        <v>689</v>
      </c>
    </row>
    <row r="190" spans="1:2" x14ac:dyDescent="0.25">
      <c r="A190" s="319" t="s">
        <v>1241</v>
      </c>
      <c r="B190" s="321" t="s">
        <v>689</v>
      </c>
    </row>
    <row r="191" spans="1:2" x14ac:dyDescent="0.25">
      <c r="A191" s="319" t="s">
        <v>1238</v>
      </c>
      <c r="B191" s="321" t="s">
        <v>685</v>
      </c>
    </row>
    <row r="192" spans="1:2" x14ac:dyDescent="0.25">
      <c r="A192" s="319" t="s">
        <v>673</v>
      </c>
      <c r="B192" s="321" t="s">
        <v>684</v>
      </c>
    </row>
  </sheetData>
  <sheetProtection password="CB17" sheet="1"/>
  <pageMargins left="0.7" right="0.7" top="0.75" bottom="0.75" header="0.3" footer="0.3"/>
  <pageSetup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E200"/>
  <sheetViews>
    <sheetView workbookViewId="0">
      <selection activeCell="C1" sqref="C1"/>
    </sheetView>
  </sheetViews>
  <sheetFormatPr defaultRowHeight="15" x14ac:dyDescent="0.25"/>
  <cols>
    <col min="2" max="2" width="31.28515625" customWidth="1"/>
    <col min="3" max="3" width="28.7109375" customWidth="1"/>
  </cols>
  <sheetData>
    <row r="1" spans="1:5" x14ac:dyDescent="0.25">
      <c r="A1" t="s">
        <v>495</v>
      </c>
      <c r="B1" s="188" t="str">
        <f>Recipe!H9</f>
        <v>08-English IPA</v>
      </c>
      <c r="C1" t="str">
        <f>VLOOKUP(B1,ValidCross,2,0)</f>
        <v>Generic Mid Amber Ale</v>
      </c>
      <c r="E1" s="96"/>
    </row>
    <row r="2" spans="1:5" x14ac:dyDescent="0.25">
      <c r="B2" s="96"/>
      <c r="C2" t="str">
        <f t="array" aca="1" ref="C2" ca="1">IF(COUNTIF(INDEX(ValidCross,0,1),B$1)&gt;ROW()-ROW(C$1),OFFSET(ValidCross,SMALL(IF(INDEX(ValidCross,0,1)=B$1,ROW(ValidCross)-CELL("Row",ValidCross)),ROW()-ROW(C$1)+1),1,1,1),"")</f>
        <v>Altbier, Steam, ESB, Ir. Red, Am. Amber, Eng. IPA, Roggenbier, Bel. Pale</v>
      </c>
    </row>
    <row r="3" spans="1:5" x14ac:dyDescent="0.25">
      <c r="C3" t="str">
        <f t="array" aca="1" ref="C3" ca="1">IF(COUNTIF(INDEX(ValidCross,0,1),B$1)&gt;ROW()-ROW(C$1),OFFSET(ValidCross,SMALL(IF(INDEX(ValidCross,0,1)=B$1,ROW(ValidCross)-CELL("Row",ValidCross)),ROW()-ROW(C$1)+1),1,1,1),"")</f>
        <v>Am. Brown, English Brown, Brown Porter, Misc. Stouts, Dunkelweizen</v>
      </c>
    </row>
    <row r="4" spans="1:5" x14ac:dyDescent="0.25">
      <c r="C4" t="str">
        <f t="array" aca="1" ref="C4" ca="1">IF(COUNTIF(INDEX(ValidCross,0,1),B$1)&gt;ROW()-ROW(C$1),OFFSET(ValidCross,SMALL(IF(INDEX(ValidCross,0,1)=B$1,ROW(ValidCross)-CELL("Row",ValidCross)),ROW()-ROW(C$1)+1),1,1,1),"")</f>
        <v>Am. Premium, German Pils, CAP, Dortmunder Export</v>
      </c>
    </row>
    <row r="5" spans="1:5" x14ac:dyDescent="0.25">
      <c r="C5" t="str">
        <f t="array" aca="1" ref="C5" ca="1">IF(COUNTIF(INDEX(ValidCross,0,1),B$1)&gt;ROW()-ROW(C$1),OFFSET(ValidCross,SMALL(IF(INDEX(ValidCross,0,1)=B$1,ROW(ValidCross)-CELL("Row",ValidCross)),ROW()-ROW(C$1)+1),1,1,1),"")</f>
        <v>American Dark, Munich Dunkel, Schwarzbier</v>
      </c>
    </row>
    <row r="6" spans="1:5" x14ac:dyDescent="0.25">
      <c r="C6" t="str">
        <f t="array" aca="1" ref="C6" ca="1">IF(COUNTIF(INDEX(ValidCross,0,1),B$1)&gt;ROW()-ROW(C$1),OFFSET(ValidCross,SMALL(IF(INDEX(ValidCross,0,1)=B$1,ROW(ValidCross)-CELL("Row",ValidCross)),ROW()-ROW(C$1)+1),1,1,1),"")</f>
        <v>APA, AXPA, Saison, AIPA, IIPA</v>
      </c>
    </row>
    <row r="7" spans="1:5" x14ac:dyDescent="0.25">
      <c r="C7" t="str">
        <f t="array" aca="1" ref="C7" ca="1">IF(COUNTIF(INDEX(ValidCross,0,1),B$1)&gt;ROW()-ROW(C$1),OFFSET(ValidCross,SMALL(IF(INDEX(ValidCross,0,1)=B$1,ROW(ValidCross)-CELL("Row",ValidCross)),ROW()-ROW(C$1)+1),1,1,1),"")</f>
        <v>Baltic Porter, FES, Am. Stout, RIS, Weizenbock, BSDA, Old Ale</v>
      </c>
    </row>
    <row r="8" spans="1:5" x14ac:dyDescent="0.25">
      <c r="C8" t="str">
        <f t="array" aca="1" ref="C8" ca="1">IF(COUNTIF(INDEX(ValidCross,0,1),B$1)&gt;ROW()-ROW(C$1),OFFSET(ValidCross,SMALL(IF(INDEX(ValidCross,0,1)=B$1,ROW(ValidCross)-CELL("Row",ValidCross)),ROW()-ROW(C$1)+1),1,1,1),"")</f>
        <v>Belgian Blonde, Golden Strong, Tripel</v>
      </c>
    </row>
    <row r="9" spans="1:5" x14ac:dyDescent="0.25">
      <c r="C9" t="str">
        <f t="array" aca="1" ref="C9" ca="1">IF(COUNTIF(INDEX(ValidCross,0,1),B$1)&gt;ROW()-ROW(C$1),OFFSET(ValidCross,SMALL(IF(INDEX(ValidCross,0,1)=B$1,ROW(ValidCross)-CELL("Row",ValidCross)),ROW()-ROW(C$1)+1),1,1,1),"")</f>
        <v>Blonde, Am. Wheat, Bitter, Best Bitter</v>
      </c>
    </row>
    <row r="10" spans="1:5" x14ac:dyDescent="0.25">
      <c r="C10" t="str">
        <f t="array" aca="1" ref="C10" ca="1">IF(COUNTIF(INDEX(ValidCross,0,1),B$1)&gt;ROW()-ROW(C$1),OFFSET(ValidCross,SMALL(IF(INDEX(ValidCross,0,1)=B$1,ROW(ValidCross)-CELL("Row",ValidCross)),ROW()-ROW(C$1)+1),1,1,1),"")</f>
        <v>Bock, Doppelbock, Eisbock, Baltic Porter</v>
      </c>
    </row>
    <row r="11" spans="1:5" x14ac:dyDescent="0.25">
      <c r="C11" t="str">
        <f t="array" aca="1" ref="C11" ca="1">IF(COUNTIF(INDEX(ValidCross,0,1),B$1)&gt;ROW()-ROW(C$1),OFFSET(ValidCross,SMALL(IF(INDEX(ValidCross,0,1)=B$1,ROW(ValidCross)-CELL("Row",ValidCross)),ROW()-ROW(C$1)+1),1,1,1),"")</f>
        <v>Boiled Dublin Water Profile (Zymurgy Nov/Dec 2013)</v>
      </c>
    </row>
    <row r="12" spans="1:5" x14ac:dyDescent="0.25">
      <c r="C12" t="str">
        <f t="array" aca="1" ref="C12" ca="1">IF(COUNTIF(INDEX(ValidCross,0,1),B$1)&gt;ROW()-ROW(C$1),OFFSET(ValidCross,SMALL(IF(INDEX(ValidCross,0,1)=B$1,ROW(ValidCross)-CELL("Row",ValidCross)),ROW()-ROW(C$1)+1),1,1,1),"")</f>
        <v>Burton Pale Ale Profile (Zymurgy Jan/Feb 2014)</v>
      </c>
    </row>
    <row r="13" spans="1:5" x14ac:dyDescent="0.25">
      <c r="C13" t="str">
        <f t="array" aca="1" ref="C13" ca="1">IF(COUNTIF(INDEX(ValidCross,0,1),B$1)&gt;ROW()-ROW(C$1),OFFSET(ValidCross,SMALL(IF(INDEX(ValidCross,0,1)=B$1,ROW(ValidCross)-CELL("Row",ValidCross)),ROW()-ROW(C$1)+1),1,1,1),"")</f>
        <v>Burton-on-Trent</v>
      </c>
    </row>
    <row r="14" spans="1:5" x14ac:dyDescent="0.25">
      <c r="C14" t="str">
        <f t="array" aca="1" ref="C14" ca="1">IF(COUNTIF(INDEX(ValidCross,0,1),B$1)&gt;ROW()-ROW(C$1),OFFSET(ValidCross,SMALL(IF(INDEX(ValidCross,0,1)=B$1,ROW(ValidCross)-CELL("Row",ValidCross)),ROW()-ROW(C$1)+1),1,1,1),"")</f>
        <v>Dark German Lagers, Bocks (Moderately Alkaline Water)</v>
      </c>
    </row>
    <row r="15" spans="1:5" x14ac:dyDescent="0.25">
      <c r="C15" t="str">
        <f t="array" aca="1" ref="C15" ca="1">IF(COUNTIF(INDEX(ValidCross,0,1),B$1)&gt;ROW()-ROW(C$1),OFFSET(ValidCross,SMALL(IF(INDEX(ValidCross,0,1)=B$1,ROW(ValidCross)-CELL("Row",ValidCross)),ROW()-ROW(C$1)+1),1,1,1),"")</f>
        <v>Edinbugh</v>
      </c>
    </row>
    <row r="16" spans="1:5" x14ac:dyDescent="0.25">
      <c r="C16" t="str">
        <f t="array" aca="1" ref="C16" ca="1">IF(COUNTIF(INDEX(ValidCross,0,1),B$1)&gt;ROW()-ROW(C$1),OFFSET(ValidCross,SMALL(IF(INDEX(ValidCross,0,1)=B$1,ROW(ValidCross)-CELL("Row",ValidCross)),ROW()-ROW(C$1)+1),1,1,1),"")</f>
        <v>English Brown, Brown Porter, Dry Stout</v>
      </c>
    </row>
    <row r="17" spans="3:3" x14ac:dyDescent="0.25">
      <c r="C17" t="str">
        <f t="array" aca="1" ref="C17" ca="1">IF(COUNTIF(INDEX(ValidCross,0,1),B$1)&gt;ROW()-ROW(C$1),OFFSET(ValidCross,SMALL(IF(INDEX(ValidCross,0,1)=B$1,ROW(ValidCross)-CELL("Row",ValidCross)),ROW()-ROW(C$1)+1),1,1,1),"")</f>
        <v>Ft Collins source</v>
      </c>
    </row>
    <row r="18" spans="3:3" x14ac:dyDescent="0.25">
      <c r="C18" t="str">
        <f t="array" aca="1" ref="C18" ca="1">IF(COUNTIF(INDEX(ValidCross,0,1),B$1)&gt;ROW()-ROW(C$1),OFFSET(ValidCross,SMALL(IF(INDEX(ValidCross,0,1)=B$1,ROW(ValidCross)-CELL("Row",ValidCross)),ROW()-ROW(C$1)+1),1,1,1),"")</f>
        <v>German or American Pils (Pilsner Water)</v>
      </c>
    </row>
    <row r="19" spans="3:3" x14ac:dyDescent="0.25">
      <c r="C19" t="str">
        <f t="array" aca="1" ref="C19" ca="1">IF(COUNTIF(INDEX(ValidCross,0,1),B$1)&gt;ROW()-ROW(C$1),OFFSET(ValidCross,SMALL(IF(INDEX(ValidCross,0,1)=B$1,ROW(ValidCross)-CELL("Row",ValidCross)),ROW()-ROW(C$1)+1),1,1,1),"")</f>
        <v>Helles/Maibock, Bock, Doppelbock</v>
      </c>
    </row>
    <row r="20" spans="3:3" x14ac:dyDescent="0.25">
      <c r="C20" t="str">
        <f t="array" aca="1" ref="C20" ca="1">IF(COUNTIF(INDEX(ValidCross,0,1),B$1)&gt;ROW()-ROW(C$1),OFFSET(ValidCross,SMALL(IF(INDEX(ValidCross,0,1)=B$1,ROW(ValidCross)-CELL("Row",ValidCross)),ROW()-ROW(C$1)+1),1,1,1),"")</f>
        <v>Juicy Bits</v>
      </c>
    </row>
    <row r="21" spans="3:3" x14ac:dyDescent="0.25">
      <c r="C21" t="str">
        <f t="array" aca="1" ref="C21" ca="1">IF(COUNTIF(INDEX(ValidCross,0,1),B$1)&gt;ROW()-ROW(C$1),OFFSET(ValidCross,SMALL(IF(INDEX(ValidCross,0,1)=B$1,ROW(ValidCross)-CELL("Row",ValidCross)),ROW()-ROW(C$1)+1),1,1,1),"")</f>
        <v>Lite/Standard Am. Lager, Munich Helles, Bohemian Pils</v>
      </c>
    </row>
    <row r="22" spans="3:3" x14ac:dyDescent="0.25">
      <c r="C22" t="str">
        <f t="array" aca="1" ref="C22" ca="1">IF(COUNTIF(INDEX(ValidCross,0,1),B$1)&gt;ROW()-ROW(C$1),OFFSET(ValidCross,SMALL(IF(INDEX(ValidCross,0,1)=B$1,ROW(ValidCross)-CELL("Row",ValidCross)),ROW()-ROW(C$1)+1),1,1,1),"")</f>
        <v>Maxline ESB</v>
      </c>
    </row>
    <row r="23" spans="3:3" x14ac:dyDescent="0.25">
      <c r="C23" t="str">
        <f t="array" aca="1" ref="C23" ca="1">IF(COUNTIF(INDEX(ValidCross,0,1),B$1)&gt;ROW()-ROW(C$1),OFFSET(ValidCross,SMALL(IF(INDEX(ValidCross,0,1)=B$1,ROW(ValidCross)-CELL("Row",ValidCross)),ROW()-ROW(C$1)+1),1,1,1),"")</f>
        <v>Mild, Scottish 60/70/80, Bitter, Best Bitter</v>
      </c>
    </row>
    <row r="24" spans="3:3" x14ac:dyDescent="0.25">
      <c r="C24" t="str">
        <f t="array" aca="1" ref="C24" ca="1">IF(COUNTIF(INDEX(ValidCross,0,1),B$1)&gt;ROW()-ROW(C$1),OFFSET(ValidCross,SMALL(IF(INDEX(ValidCross,0,1)=B$1,ROW(ValidCross)-CELL("Row",ValidCross)),ROW()-ROW(C$1)+1),1,1,1),"")</f>
        <v>Munich Helles / Pils, Weissbier Hell, Koelsch (Very Soft Water)</v>
      </c>
    </row>
    <row r="25" spans="3:3" x14ac:dyDescent="0.25">
      <c r="C25" t="str">
        <f t="array" aca="1" ref="C25" ca="1">IF(COUNTIF(INDEX(ValidCross,0,1),B$1)&gt;ROW()-ROW(C$1),OFFSET(ValidCross,SMALL(IF(INDEX(ValidCross,0,1)=B$1,ROW(ValidCross)-CELL("Row",ValidCross)),ROW()-ROW(C$1)+1),1,1,1),"")</f>
        <v>Munich Helles and Weissbier (light and amber) (Weihenstephan School Water)</v>
      </c>
    </row>
    <row r="26" spans="3:3" x14ac:dyDescent="0.25">
      <c r="C26" t="str">
        <f t="array" aca="1" ref="C26" ca="1">IF(COUNTIF(INDEX(ValidCross,0,1),B$1)&gt;ROW()-ROW(C$1),OFFSET(ValidCross,SMALL(IF(INDEX(ValidCross,0,1)=B$1,ROW(ValidCross)-CELL("Row",ValidCross)),ROW()-ROW(C$1)+1),1,1,1),"")</f>
        <v>Neue altbier</v>
      </c>
    </row>
    <row r="27" spans="3:3" x14ac:dyDescent="0.25">
      <c r="C27" t="str">
        <f t="array" aca="1" ref="C27" ca="1">IF(COUNTIF(INDEX(ValidCross,0,1),B$1)&gt;ROW()-ROW(C$1),OFFSET(ValidCross,SMALL(IF(INDEX(ValidCross,0,1)=B$1,ROW(ValidCross)-CELL("Row",ValidCross)),ROW()-ROW(C$1)+1),1,1,1),"")</f>
        <v>Recommended Bavarian Water Profile (Zymurgy Mar/Apr 2014)</v>
      </c>
    </row>
    <row r="28" spans="3:3" x14ac:dyDescent="0.25">
      <c r="C28" t="str">
        <f t="array" aca="1" ref="C28" ca="1">IF(COUNTIF(INDEX(ValidCross,0,1),B$1)&gt;ROW()-ROW(C$1),OFFSET(ValidCross,SMALL(IF(INDEX(ValidCross,0,1)=B$1,ROW(ValidCross)-CELL("Row",ValidCross)),ROW()-ROW(C$1)+1),1,1,1),"")</f>
        <v>Strong Scotch Ale, Biere de Garde, Dubbel, Old Ale, Barleywine</v>
      </c>
    </row>
    <row r="29" spans="3:3" x14ac:dyDescent="0.25">
      <c r="C29" t="str">
        <f t="array" aca="1" ref="C29" ca="1">IF(COUNTIF(INDEX(ValidCross,0,1),B$1)&gt;ROW()-ROW(C$1),OFFSET(ValidCross,SMALL(IF(INDEX(ValidCross,0,1)=B$1,ROW(ValidCross)-CELL("Row",ValidCross)),ROW()-ROW(C$1)+1),1,1,1),"")</f>
        <v>Suggested London Pale Ale Profile (Zymurgy May/Jun 2014)</v>
      </c>
    </row>
    <row r="30" spans="3:3" x14ac:dyDescent="0.25">
      <c r="C30" t="str">
        <f t="array" aca="1" ref="C30" ca="1">IF(COUNTIF(INDEX(ValidCross,0,1),B$1)&gt;ROW()-ROW(C$1),OFFSET(ValidCross,SMALL(IF(INDEX(ValidCross,0,1)=B$1,ROW(ValidCross)-CELL("Row",ValidCross)),ROW()-ROW(C$1)+1),1,1,1),"")</f>
        <v>Vienna, Oktoberfest-Maerzen</v>
      </c>
    </row>
    <row r="31" spans="3:3" x14ac:dyDescent="0.25">
      <c r="C31" t="str">
        <f t="array" aca="1" ref="C31" ca="1">IF(COUNTIF(INDEX(ValidCross,0,1),B$1)&gt;ROW()-ROW(C$1),OFFSET(ValidCross,SMALL(IF(INDEX(ValidCross,0,1)=B$1,ROW(ValidCross)-CELL("Row",ValidCross)),ROW()-ROW(C$1)+1),1,1,1),"")</f>
        <v>Weizen, Witbier, Cream Ale, Blonde Ale, Koelsch</v>
      </c>
    </row>
    <row r="32" spans="3:3" x14ac:dyDescent="0.25">
      <c r="C32" t="str">
        <f t="array" aca="1" ref="C32" ca="1">IF(COUNTIF(INDEX(ValidCross,0,1),B$1)&gt;ROW()-ROW(C$1),OFFSET(ValidCross,SMALL(IF(INDEX(ValidCross,0,1)=B$1,ROW(ValidCross)-CELL("Row",ValidCross)),ROW()-ROW(C$1)+1),1,1,1),"")</f>
        <v>Pilsener, Pilsen (Palmer)</v>
      </c>
    </row>
    <row r="33" spans="3:3" x14ac:dyDescent="0.25">
      <c r="C33" t="str">
        <f t="array" aca="1" ref="C33" ca="1">IF(COUNTIF(INDEX(ValidCross,0,1),B$1)&gt;ROW()-ROW(C$1),OFFSET(ValidCross,SMALL(IF(INDEX(ValidCross,0,1)=B$1,ROW(ValidCross)-CELL("Row",ValidCross)),ROW()-ROW(C$1)+1),1,1,1),"")</f>
        <v>Export Lager, Dortmund (Palmer)</v>
      </c>
    </row>
    <row r="34" spans="3:3" x14ac:dyDescent="0.25">
      <c r="C34" t="str">
        <f t="array" aca="1" ref="C34" ca="1">IF(COUNTIF(INDEX(ValidCross,0,1),B$1)&gt;ROW()-ROW(C$1),OFFSET(ValidCross,SMALL(IF(INDEX(ValidCross,0,1)=B$1,ROW(ValidCross)-CELL("Row",ValidCross)),ROW()-ROW(C$1)+1),1,1,1),"")</f>
        <v>Vienna Lager, Vienna (Palmer)</v>
      </c>
    </row>
    <row r="35" spans="3:3" x14ac:dyDescent="0.25">
      <c r="C35" t="str">
        <f t="array" aca="1" ref="C35" ca="1">IF(COUNTIF(INDEX(ValidCross,0,1),B$1)&gt;ROW()-ROW(C$1),OFFSET(ValidCross,SMALL(IF(INDEX(ValidCross,0,1)=B$1,ROW(ValidCross)-CELL("Row",ValidCross)),ROW()-ROW(C$1)+1),1,1,1),"")</f>
        <v>Oktoberfest, Munich (Palmer)</v>
      </c>
    </row>
    <row r="36" spans="3:3" x14ac:dyDescent="0.25">
      <c r="C36" t="str">
        <f t="array" aca="1" ref="C36" ca="1">IF(COUNTIF(INDEX(ValidCross,0,1),B$1)&gt;ROW()-ROW(C$1),OFFSET(ValidCross,SMALL(IF(INDEX(ValidCross,0,1)=B$1,ROW(ValidCross)-CELL("Row",ValidCross)),ROW()-ROW(C$1)+1),1,1,1),"")</f>
        <v>British Bitter, London (Palmer)</v>
      </c>
    </row>
    <row r="37" spans="3:3" x14ac:dyDescent="0.25">
      <c r="C37" t="str">
        <f t="array" aca="1" ref="C37" ca="1">IF(COUNTIF(INDEX(ValidCross,0,1),B$1)&gt;ROW()-ROW(C$1),OFFSET(ValidCross,SMALL(IF(INDEX(ValidCross,0,1)=B$1,ROW(ValidCross)-CELL("Row",ValidCross)),ROW()-ROW(C$1)+1),1,1,1),"")</f>
        <v>Scottish Ale, Edinburgh (Palmer)</v>
      </c>
    </row>
    <row r="38" spans="3:3" x14ac:dyDescent="0.25">
      <c r="C38" t="str">
        <f t="array" aca="1" ref="C38" ca="1">IF(COUNTIF(INDEX(ValidCross,0,1),B$1)&gt;ROW()-ROW(C$1),OFFSET(ValidCross,SMALL(IF(INDEX(ValidCross,0,1)=B$1,ROW(ValidCross)-CELL("Row",ValidCross)),ROW()-ROW(C$1)+1),1,1,1),"")</f>
        <v>India Pale Ale, Burton (Palmer)</v>
      </c>
    </row>
    <row r="39" spans="3:3" x14ac:dyDescent="0.25">
      <c r="C39" t="str">
        <f t="array" aca="1" ref="C39" ca="1">IF(COUNTIF(INDEX(ValidCross,0,1),B$1)&gt;ROW()-ROW(C$1),OFFSET(ValidCross,SMALL(IF(INDEX(ValidCross,0,1)=B$1,ROW(ValidCross)-CELL("Row",ValidCross)),ROW()-ROW(C$1)+1),1,1,1),"")</f>
        <v>Dry Stout, Dublin (Palmer)</v>
      </c>
    </row>
    <row r="40" spans="3:3" x14ac:dyDescent="0.25">
      <c r="C40" t="str">
        <f t="array" aca="1" ref="C40" ca="1">IF(COUNTIF(INDEX(ValidCross,0,1),B$1)&gt;ROW()-ROW(C$1),OFFSET(ValidCross,SMALL(IF(INDEX(ValidCross,0,1)=B$1,ROW(ValidCross)-CELL("Row",ValidCross)),ROW()-ROW(C$1)+1),1,1,1),"")</f>
        <v>Belgium (exc Blaugies)</v>
      </c>
    </row>
    <row r="41" spans="3:3" x14ac:dyDescent="0.25">
      <c r="C41" t="str">
        <f t="array" aca="1" ref="C41" ca="1">IF(COUNTIF(INDEX(ValidCross,0,1),B$1)&gt;ROW()-ROW(C$1),OFFSET(ValidCross,SMALL(IF(INDEX(ValidCross,0,1)=B$1,ROW(ValidCross)-CELL("Row",ValidCross)),ROW()-ROW(C$1)+1),1,1,1),"")</f>
        <v/>
      </c>
    </row>
    <row r="42" spans="3:3" x14ac:dyDescent="0.25">
      <c r="C42" t="str">
        <f t="array" aca="1" ref="C42" ca="1">IF(COUNTIF(INDEX(ValidCross,0,1),B$1)&gt;ROW()-ROW(C$1),OFFSET(ValidCross,SMALL(IF(INDEX(ValidCross,0,1)=B$1,ROW(ValidCross)-CELL("Row",ValidCross)),ROW()-ROW(C$1)+1),1,1,1),"")</f>
        <v/>
      </c>
    </row>
    <row r="43" spans="3:3" x14ac:dyDescent="0.25">
      <c r="C43" t="str">
        <f t="array" aca="1" ref="C43" ca="1">IF(COUNTIF(INDEX(ValidCross,0,1),B$1)&gt;ROW()-ROW(C$1),OFFSET(ValidCross,SMALL(IF(INDEX(ValidCross,0,1)=B$1,ROW(ValidCross)-CELL("Row",ValidCross)),ROW()-ROW(C$1)+1),1,1,1),"")</f>
        <v/>
      </c>
    </row>
    <row r="44" spans="3:3" x14ac:dyDescent="0.25">
      <c r="C44" t="str">
        <f t="array" aca="1" ref="C44" ca="1">IF(COUNTIF(INDEX(ValidCross,0,1),B$1)&gt;ROW()-ROW(C$1),OFFSET(ValidCross,SMALL(IF(INDEX(ValidCross,0,1)=B$1,ROW(ValidCross)-CELL("Row",ValidCross)),ROW()-ROW(C$1)+1),1,1,1),"")</f>
        <v/>
      </c>
    </row>
    <row r="45" spans="3:3" x14ac:dyDescent="0.25">
      <c r="C45" t="str">
        <f t="array" aca="1" ref="C45" ca="1">IF(COUNTIF(INDEX(ValidCross,0,1),B$1)&gt;ROW()-ROW(C$1),OFFSET(ValidCross,SMALL(IF(INDEX(ValidCross,0,1)=B$1,ROW(ValidCross)-CELL("Row",ValidCross)),ROW()-ROW(C$1)+1),1,1,1),"")</f>
        <v/>
      </c>
    </row>
    <row r="46" spans="3:3" x14ac:dyDescent="0.25">
      <c r="C46" t="str">
        <f t="array" aca="1" ref="C46" ca="1">IF(COUNTIF(INDEX(ValidCross,0,1),B$1)&gt;ROW()-ROW(C$1),OFFSET(ValidCross,SMALL(IF(INDEX(ValidCross,0,1)=B$1,ROW(ValidCross)-CELL("Row",ValidCross)),ROW()-ROW(C$1)+1),1,1,1),"")</f>
        <v/>
      </c>
    </row>
    <row r="47" spans="3:3" x14ac:dyDescent="0.25">
      <c r="C47" t="str">
        <f t="array" aca="1" ref="C47" ca="1">IF(COUNTIF(INDEX(ValidCross,0,1),B$1)&gt;ROW()-ROW(C$1),OFFSET(ValidCross,SMALL(IF(INDEX(ValidCross,0,1)=B$1,ROW(ValidCross)-CELL("Row",ValidCross)),ROW()-ROW(C$1)+1),1,1,1),"")</f>
        <v/>
      </c>
    </row>
    <row r="48" spans="3:3" x14ac:dyDescent="0.25">
      <c r="C48" t="str">
        <f t="array" aca="1" ref="C48" ca="1">IF(COUNTIF(INDEX(ValidCross,0,1),B$1)&gt;ROW()-ROW(C$1),OFFSET(ValidCross,SMALL(IF(INDEX(ValidCross,0,1)=B$1,ROW(ValidCross)-CELL("Row",ValidCross)),ROW()-ROW(C$1)+1),1,1,1),"")</f>
        <v/>
      </c>
    </row>
    <row r="49" spans="3:3" x14ac:dyDescent="0.25">
      <c r="C49" t="str">
        <f t="array" aca="1" ref="C49" ca="1">IF(COUNTIF(INDEX(ValidCross,0,1),B$1)&gt;ROW()-ROW(C$1),OFFSET(ValidCross,SMALL(IF(INDEX(ValidCross,0,1)=B$1,ROW(ValidCross)-CELL("Row",ValidCross)),ROW()-ROW(C$1)+1),1,1,1),"")</f>
        <v/>
      </c>
    </row>
    <row r="50" spans="3:3" x14ac:dyDescent="0.25">
      <c r="C50" t="str">
        <f t="array" aca="1" ref="C50" ca="1">IF(COUNTIF(INDEX(ValidCross,0,1),B$1)&gt;ROW()-ROW(C$1),OFFSET(ValidCross,SMALL(IF(INDEX(ValidCross,0,1)=B$1,ROW(ValidCross)-CELL("Row",ValidCross)),ROW()-ROW(C$1)+1),1,1,1),"")</f>
        <v/>
      </c>
    </row>
    <row r="51" spans="3:3" x14ac:dyDescent="0.25">
      <c r="C51" t="str">
        <f t="array" aca="1" ref="C51" ca="1">IF(COUNTIF(INDEX(ValidCross,0,1),B$1)&gt;ROW()-ROW(C$1),OFFSET(ValidCross,SMALL(IF(INDEX(ValidCross,0,1)=B$1,ROW(ValidCross)-CELL("Row",ValidCross)),ROW()-ROW(C$1)+1),1,1,1),"")</f>
        <v/>
      </c>
    </row>
    <row r="52" spans="3:3" x14ac:dyDescent="0.25">
      <c r="C52" t="str">
        <f t="array" aca="1" ref="C52" ca="1">IF(COUNTIF(INDEX(ValidCross,0,1),B$1)&gt;ROW()-ROW(C$1),OFFSET(ValidCross,SMALL(IF(INDEX(ValidCross,0,1)=B$1,ROW(ValidCross)-CELL("Row",ValidCross)),ROW()-ROW(C$1)+1),1,1,1),"")</f>
        <v/>
      </c>
    </row>
    <row r="53" spans="3:3" x14ac:dyDescent="0.25">
      <c r="C53" t="str">
        <f t="array" aca="1" ref="C53" ca="1">IF(COUNTIF(INDEX(ValidCross,0,1),B$1)&gt;ROW()-ROW(C$1),OFFSET(ValidCross,SMALL(IF(INDEX(ValidCross,0,1)=B$1,ROW(ValidCross)-CELL("Row",ValidCross)),ROW()-ROW(C$1)+1),1,1,1),"")</f>
        <v/>
      </c>
    </row>
    <row r="54" spans="3:3" x14ac:dyDescent="0.25">
      <c r="C54" t="str">
        <f t="array" aca="1" ref="C54" ca="1">IF(COUNTIF(INDEX(ValidCross,0,1),B$1)&gt;ROW()-ROW(C$1),OFFSET(ValidCross,SMALL(IF(INDEX(ValidCross,0,1)=B$1,ROW(ValidCross)-CELL("Row",ValidCross)),ROW()-ROW(C$1)+1),1,1,1),"")</f>
        <v/>
      </c>
    </row>
    <row r="55" spans="3:3" x14ac:dyDescent="0.25">
      <c r="C55" t="str">
        <f t="array" aca="1" ref="C55" ca="1">IF(COUNTIF(INDEX(ValidCross,0,1),B$1)&gt;ROW()-ROW(C$1),OFFSET(ValidCross,SMALL(IF(INDEX(ValidCross,0,1)=B$1,ROW(ValidCross)-CELL("Row",ValidCross)),ROW()-ROW(C$1)+1),1,1,1),"")</f>
        <v/>
      </c>
    </row>
    <row r="56" spans="3:3" x14ac:dyDescent="0.25">
      <c r="C56" t="str">
        <f t="array" aca="1" ref="C56" ca="1">IF(COUNTIF(INDEX(ValidCross,0,1),B$1)&gt;ROW()-ROW(C$1),OFFSET(ValidCross,SMALL(IF(INDEX(ValidCross,0,1)=B$1,ROW(ValidCross)-CELL("Row",ValidCross)),ROW()-ROW(C$1)+1),1,1,1),"")</f>
        <v/>
      </c>
    </row>
    <row r="57" spans="3:3" x14ac:dyDescent="0.25">
      <c r="C57" t="str">
        <f t="array" aca="1" ref="C57" ca="1">IF(COUNTIF(INDEX(ValidCross,0,1),B$1)&gt;ROW()-ROW(C$1),OFFSET(ValidCross,SMALL(IF(INDEX(ValidCross,0,1)=B$1,ROW(ValidCross)-CELL("Row",ValidCross)),ROW()-ROW(C$1)+1),1,1,1),"")</f>
        <v/>
      </c>
    </row>
    <row r="58" spans="3:3" x14ac:dyDescent="0.25">
      <c r="C58" t="str">
        <f t="array" aca="1" ref="C58" ca="1">IF(COUNTIF(INDEX(ValidCross,0,1),B$1)&gt;ROW()-ROW(C$1),OFFSET(ValidCross,SMALL(IF(INDEX(ValidCross,0,1)=B$1,ROW(ValidCross)-CELL("Row",ValidCross)),ROW()-ROW(C$1)+1),1,1,1),"")</f>
        <v/>
      </c>
    </row>
    <row r="59" spans="3:3" x14ac:dyDescent="0.25">
      <c r="C59" t="str">
        <f t="array" aca="1" ref="C59" ca="1">IF(COUNTIF(INDEX(ValidCross,0,1),B$1)&gt;ROW()-ROW(C$1),OFFSET(ValidCross,SMALL(IF(INDEX(ValidCross,0,1)=B$1,ROW(ValidCross)-CELL("Row",ValidCross)),ROW()-ROW(C$1)+1),1,1,1),"")</f>
        <v/>
      </c>
    </row>
    <row r="60" spans="3:3" x14ac:dyDescent="0.25">
      <c r="C60" t="str">
        <f t="array" aca="1" ref="C60" ca="1">IF(COUNTIF(INDEX(ValidCross,0,1),B$1)&gt;ROW()-ROW(C$1),OFFSET(ValidCross,SMALL(IF(INDEX(ValidCross,0,1)=B$1,ROW(ValidCross)-CELL("Row",ValidCross)),ROW()-ROW(C$1)+1),1,1,1),"")</f>
        <v/>
      </c>
    </row>
    <row r="61" spans="3:3" x14ac:dyDescent="0.25">
      <c r="C61" t="str">
        <f t="array" aca="1" ref="C61" ca="1">IF(COUNTIF(INDEX(ValidCross,0,1),B$1)&gt;ROW()-ROW(C$1),OFFSET(ValidCross,SMALL(IF(INDEX(ValidCross,0,1)=B$1,ROW(ValidCross)-CELL("Row",ValidCross)),ROW()-ROW(C$1)+1),1,1,1),"")</f>
        <v/>
      </c>
    </row>
    <row r="62" spans="3:3" x14ac:dyDescent="0.25">
      <c r="C62" t="str">
        <f t="array" aca="1" ref="C62" ca="1">IF(COUNTIF(INDEX(ValidCross,0,1),B$1)&gt;ROW()-ROW(C$1),OFFSET(ValidCross,SMALL(IF(INDEX(ValidCross,0,1)=B$1,ROW(ValidCross)-CELL("Row",ValidCross)),ROW()-ROW(C$1)+1),1,1,1),"")</f>
        <v/>
      </c>
    </row>
    <row r="63" spans="3:3" x14ac:dyDescent="0.25">
      <c r="C63" t="str">
        <f t="array" aca="1" ref="C63" ca="1">IF(COUNTIF(INDEX(ValidCross,0,1),B$1)&gt;ROW()-ROW(C$1),OFFSET(ValidCross,SMALL(IF(INDEX(ValidCross,0,1)=B$1,ROW(ValidCross)-CELL("Row",ValidCross)),ROW()-ROW(C$1)+1),1,1,1),"")</f>
        <v/>
      </c>
    </row>
    <row r="64" spans="3:3" x14ac:dyDescent="0.25">
      <c r="C64" t="str">
        <f t="array" aca="1" ref="C64" ca="1">IF(COUNTIF(INDEX(ValidCross,0,1),B$1)&gt;ROW()-ROW(C$1),OFFSET(ValidCross,SMALL(IF(INDEX(ValidCross,0,1)=B$1,ROW(ValidCross)-CELL("Row",ValidCross)),ROW()-ROW(C$1)+1),1,1,1),"")</f>
        <v/>
      </c>
    </row>
    <row r="65" spans="3:3" x14ac:dyDescent="0.25">
      <c r="C65" t="str">
        <f t="array" aca="1" ref="C65" ca="1">IF(COUNTIF(INDEX(ValidCross,0,1),B$1)&gt;ROW()-ROW(C$1),OFFSET(ValidCross,SMALL(IF(INDEX(ValidCross,0,1)=B$1,ROW(ValidCross)-CELL("Row",ValidCross)),ROW()-ROW(C$1)+1),1,1,1),"")</f>
        <v/>
      </c>
    </row>
    <row r="66" spans="3:3" x14ac:dyDescent="0.25">
      <c r="C66" t="str">
        <f t="array" aca="1" ref="C66" ca="1">IF(COUNTIF(INDEX(ValidCross,0,1),B$1)&gt;ROW()-ROW(C$1),OFFSET(ValidCross,SMALL(IF(INDEX(ValidCross,0,1)=B$1,ROW(ValidCross)-CELL("Row",ValidCross)),ROW()-ROW(C$1)+1),1,1,1),"")</f>
        <v/>
      </c>
    </row>
    <row r="67" spans="3:3" x14ac:dyDescent="0.25">
      <c r="C67" t="str">
        <f t="array" aca="1" ref="C67" ca="1">IF(COUNTIF(INDEX(ValidCross,0,1),B$1)&gt;ROW()-ROW(C$1),OFFSET(ValidCross,SMALL(IF(INDEX(ValidCross,0,1)=B$1,ROW(ValidCross)-CELL("Row",ValidCross)),ROW()-ROW(C$1)+1),1,1,1),"")</f>
        <v/>
      </c>
    </row>
    <row r="68" spans="3:3" x14ac:dyDescent="0.25">
      <c r="C68" t="str">
        <f t="array" aca="1" ref="C68" ca="1">IF(COUNTIF(INDEX(ValidCross,0,1),B$1)&gt;ROW()-ROW(C$1),OFFSET(ValidCross,SMALL(IF(INDEX(ValidCross,0,1)=B$1,ROW(ValidCross)-CELL("Row",ValidCross)),ROW()-ROW(C$1)+1),1,1,1),"")</f>
        <v/>
      </c>
    </row>
    <row r="69" spans="3:3" x14ac:dyDescent="0.25">
      <c r="C69" t="str">
        <f t="array" aca="1" ref="C69" ca="1">IF(COUNTIF(INDEX(ValidCross,0,1),B$1)&gt;ROW()-ROW(C$1),OFFSET(ValidCross,SMALL(IF(INDEX(ValidCross,0,1)=B$1,ROW(ValidCross)-CELL("Row",ValidCross)),ROW()-ROW(C$1)+1),1,1,1),"")</f>
        <v/>
      </c>
    </row>
    <row r="70" spans="3:3" x14ac:dyDescent="0.25">
      <c r="C70" t="str">
        <f t="array" aca="1" ref="C70" ca="1">IF(COUNTIF(INDEX(ValidCross,0,1),B$1)&gt;ROW()-ROW(C$1),OFFSET(ValidCross,SMALL(IF(INDEX(ValidCross,0,1)=B$1,ROW(ValidCross)-CELL("Row",ValidCross)),ROW()-ROW(C$1)+1),1,1,1),"")</f>
        <v/>
      </c>
    </row>
    <row r="71" spans="3:3" x14ac:dyDescent="0.25">
      <c r="C71" t="str">
        <f t="array" aca="1" ref="C71" ca="1">IF(COUNTIF(INDEX(ValidCross,0,1),B$1)&gt;ROW()-ROW(C$1),OFFSET(ValidCross,SMALL(IF(INDEX(ValidCross,0,1)=B$1,ROW(ValidCross)-CELL("Row",ValidCross)),ROW()-ROW(C$1)+1),1,1,1),"")</f>
        <v/>
      </c>
    </row>
    <row r="72" spans="3:3" x14ac:dyDescent="0.25">
      <c r="C72" t="str">
        <f t="array" aca="1" ref="C72" ca="1">IF(COUNTIF(INDEX(ValidCross,0,1),B$1)&gt;ROW()-ROW(C$1),OFFSET(ValidCross,SMALL(IF(INDEX(ValidCross,0,1)=B$1,ROW(ValidCross)-CELL("Row",ValidCross)),ROW()-ROW(C$1)+1),1,1,1),"")</f>
        <v/>
      </c>
    </row>
    <row r="73" spans="3:3" x14ac:dyDescent="0.25">
      <c r="C73" t="str">
        <f t="array" aca="1" ref="C73" ca="1">IF(COUNTIF(INDEX(ValidCross,0,1),B$1)&gt;ROW()-ROW(C$1),OFFSET(ValidCross,SMALL(IF(INDEX(ValidCross,0,1)=B$1,ROW(ValidCross)-CELL("Row",ValidCross)),ROW()-ROW(C$1)+1),1,1,1),"")</f>
        <v/>
      </c>
    </row>
    <row r="74" spans="3:3" x14ac:dyDescent="0.25">
      <c r="C74" t="str">
        <f t="array" aca="1" ref="C74" ca="1">IF(COUNTIF(INDEX(ValidCross,0,1),B$1)&gt;ROW()-ROW(C$1),OFFSET(ValidCross,SMALL(IF(INDEX(ValidCross,0,1)=B$1,ROW(ValidCross)-CELL("Row",ValidCross)),ROW()-ROW(C$1)+1),1,1,1),"")</f>
        <v/>
      </c>
    </row>
    <row r="75" spans="3:3" x14ac:dyDescent="0.25">
      <c r="C75" t="str">
        <f t="array" aca="1" ref="C75" ca="1">IF(COUNTIF(INDEX(ValidCross,0,1),B$1)&gt;ROW()-ROW(C$1),OFFSET(ValidCross,SMALL(IF(INDEX(ValidCross,0,1)=B$1,ROW(ValidCross)-CELL("Row",ValidCross)),ROW()-ROW(C$1)+1),1,1,1),"")</f>
        <v/>
      </c>
    </row>
    <row r="76" spans="3:3" x14ac:dyDescent="0.25">
      <c r="C76" t="str">
        <f t="array" aca="1" ref="C76" ca="1">IF(COUNTIF(INDEX(ValidCross,0,1),B$1)&gt;ROW()-ROW(C$1),OFFSET(ValidCross,SMALL(IF(INDEX(ValidCross,0,1)=B$1,ROW(ValidCross)-CELL("Row",ValidCross)),ROW()-ROW(C$1)+1),1,1,1),"")</f>
        <v/>
      </c>
    </row>
    <row r="77" spans="3:3" x14ac:dyDescent="0.25">
      <c r="C77" t="str">
        <f t="array" aca="1" ref="C77" ca="1">IF(COUNTIF(INDEX(ValidCross,0,1),B$1)&gt;ROW()-ROW(C$1),OFFSET(ValidCross,SMALL(IF(INDEX(ValidCross,0,1)=B$1,ROW(ValidCross)-CELL("Row",ValidCross)),ROW()-ROW(C$1)+1),1,1,1),"")</f>
        <v/>
      </c>
    </row>
    <row r="78" spans="3:3" x14ac:dyDescent="0.25">
      <c r="C78" t="str">
        <f t="array" aca="1" ref="C78" ca="1">IF(COUNTIF(INDEX(ValidCross,0,1),B$1)&gt;ROW()-ROW(C$1),OFFSET(ValidCross,SMALL(IF(INDEX(ValidCross,0,1)=B$1,ROW(ValidCross)-CELL("Row",ValidCross)),ROW()-ROW(C$1)+1),1,1,1),"")</f>
        <v/>
      </c>
    </row>
    <row r="79" spans="3:3" x14ac:dyDescent="0.25">
      <c r="C79" t="str">
        <f t="array" aca="1" ref="C79" ca="1">IF(COUNTIF(INDEX(ValidCross,0,1),B$1)&gt;ROW()-ROW(C$1),OFFSET(ValidCross,SMALL(IF(INDEX(ValidCross,0,1)=B$1,ROW(ValidCross)-CELL("Row",ValidCross)),ROW()-ROW(C$1)+1),1,1,1),"")</f>
        <v/>
      </c>
    </row>
    <row r="80" spans="3:3" x14ac:dyDescent="0.25">
      <c r="C80" t="str">
        <f t="array" aca="1" ref="C80" ca="1">IF(COUNTIF(INDEX(ValidCross,0,1),B$1)&gt;ROW()-ROW(C$1),OFFSET(ValidCross,SMALL(IF(INDEX(ValidCross,0,1)=B$1,ROW(ValidCross)-CELL("Row",ValidCross)),ROW()-ROW(C$1)+1),1,1,1),"")</f>
        <v/>
      </c>
    </row>
    <row r="81" spans="3:3" x14ac:dyDescent="0.25">
      <c r="C81" t="str">
        <f t="array" aca="1" ref="C81" ca="1">IF(COUNTIF(INDEX(ValidCross,0,1),B$1)&gt;ROW()-ROW(C$1),OFFSET(ValidCross,SMALL(IF(INDEX(ValidCross,0,1)=B$1,ROW(ValidCross)-CELL("Row",ValidCross)),ROW()-ROW(C$1)+1),1,1,1),"")</f>
        <v/>
      </c>
    </row>
    <row r="82" spans="3:3" x14ac:dyDescent="0.25">
      <c r="C82" t="str">
        <f t="array" aca="1" ref="C82" ca="1">IF(COUNTIF(INDEX(ValidCross,0,1),B$1)&gt;ROW()-ROW(C$1),OFFSET(ValidCross,SMALL(IF(INDEX(ValidCross,0,1)=B$1,ROW(ValidCross)-CELL("Row",ValidCross)),ROW()-ROW(C$1)+1),1,1,1),"")</f>
        <v/>
      </c>
    </row>
    <row r="83" spans="3:3" x14ac:dyDescent="0.25">
      <c r="C83" t="str">
        <f t="array" aca="1" ref="C83" ca="1">IF(COUNTIF(INDEX(ValidCross,0,1),B$1)&gt;ROW()-ROW(C$1),OFFSET(ValidCross,SMALL(IF(INDEX(ValidCross,0,1)=B$1,ROW(ValidCross)-CELL("Row",ValidCross)),ROW()-ROW(C$1)+1),1,1,1),"")</f>
        <v/>
      </c>
    </row>
    <row r="84" spans="3:3" x14ac:dyDescent="0.25">
      <c r="C84" t="str">
        <f t="array" aca="1" ref="C84" ca="1">IF(COUNTIF(INDEX(ValidCross,0,1),B$1)&gt;ROW()-ROW(C$1),OFFSET(ValidCross,SMALL(IF(INDEX(ValidCross,0,1)=B$1,ROW(ValidCross)-CELL("Row",ValidCross)),ROW()-ROW(C$1)+1),1,1,1),"")</f>
        <v/>
      </c>
    </row>
    <row r="85" spans="3:3" x14ac:dyDescent="0.25">
      <c r="C85" t="str">
        <f t="array" aca="1" ref="C85" ca="1">IF(COUNTIF(INDEX(ValidCross,0,1),B$1)&gt;ROW()-ROW(C$1),OFFSET(ValidCross,SMALL(IF(INDEX(ValidCross,0,1)=B$1,ROW(ValidCross)-CELL("Row",ValidCross)),ROW()-ROW(C$1)+1),1,1,1),"")</f>
        <v/>
      </c>
    </row>
    <row r="86" spans="3:3" x14ac:dyDescent="0.25">
      <c r="C86" t="str">
        <f t="array" aca="1" ref="C86" ca="1">IF(COUNTIF(INDEX(ValidCross,0,1),B$1)&gt;ROW()-ROW(C$1),OFFSET(ValidCross,SMALL(IF(INDEX(ValidCross,0,1)=B$1,ROW(ValidCross)-CELL("Row",ValidCross)),ROW()-ROW(C$1)+1),1,1,1),"")</f>
        <v/>
      </c>
    </row>
    <row r="87" spans="3:3" x14ac:dyDescent="0.25">
      <c r="C87" t="str">
        <f t="array" aca="1" ref="C87" ca="1">IF(COUNTIF(INDEX(ValidCross,0,1),B$1)&gt;ROW()-ROW(C$1),OFFSET(ValidCross,SMALL(IF(INDEX(ValidCross,0,1)=B$1,ROW(ValidCross)-CELL("Row",ValidCross)),ROW()-ROW(C$1)+1),1,1,1),"")</f>
        <v/>
      </c>
    </row>
    <row r="88" spans="3:3" x14ac:dyDescent="0.25">
      <c r="C88" t="str">
        <f t="array" aca="1" ref="C88" ca="1">IF(COUNTIF(INDEX(ValidCross,0,1),B$1)&gt;ROW()-ROW(C$1),OFFSET(ValidCross,SMALL(IF(INDEX(ValidCross,0,1)=B$1,ROW(ValidCross)-CELL("Row",ValidCross)),ROW()-ROW(C$1)+1),1,1,1),"")</f>
        <v/>
      </c>
    </row>
    <row r="89" spans="3:3" x14ac:dyDescent="0.25">
      <c r="C89" t="str">
        <f t="array" aca="1" ref="C89" ca="1">IF(COUNTIF(INDEX(ValidCross,0,1),B$1)&gt;ROW()-ROW(C$1),OFFSET(ValidCross,SMALL(IF(INDEX(ValidCross,0,1)=B$1,ROW(ValidCross)-CELL("Row",ValidCross)),ROW()-ROW(C$1)+1),1,1,1),"")</f>
        <v/>
      </c>
    </row>
    <row r="90" spans="3:3" x14ac:dyDescent="0.25">
      <c r="C90" t="str">
        <f t="array" aca="1" ref="C90" ca="1">IF(COUNTIF(INDEX(ValidCross,0,1),B$1)&gt;ROW()-ROW(C$1),OFFSET(ValidCross,SMALL(IF(INDEX(ValidCross,0,1)=B$1,ROW(ValidCross)-CELL("Row",ValidCross)),ROW()-ROW(C$1)+1),1,1,1),"")</f>
        <v/>
      </c>
    </row>
    <row r="91" spans="3:3" x14ac:dyDescent="0.25">
      <c r="C91" t="str">
        <f t="array" aca="1" ref="C91" ca="1">IF(COUNTIF(INDEX(ValidCross,0,1),B$1)&gt;ROW()-ROW(C$1),OFFSET(ValidCross,SMALL(IF(INDEX(ValidCross,0,1)=B$1,ROW(ValidCross)-CELL("Row",ValidCross)),ROW()-ROW(C$1)+1),1,1,1),"")</f>
        <v/>
      </c>
    </row>
    <row r="92" spans="3:3" x14ac:dyDescent="0.25">
      <c r="C92" t="str">
        <f t="array" aca="1" ref="C92" ca="1">IF(COUNTIF(INDEX(ValidCross,0,1),B$1)&gt;ROW()-ROW(C$1),OFFSET(ValidCross,SMALL(IF(INDEX(ValidCross,0,1)=B$1,ROW(ValidCross)-CELL("Row",ValidCross)),ROW()-ROW(C$1)+1),1,1,1),"")</f>
        <v/>
      </c>
    </row>
    <row r="93" spans="3:3" x14ac:dyDescent="0.25">
      <c r="C93" t="str">
        <f t="array" aca="1" ref="C93" ca="1">IF(COUNTIF(INDEX(ValidCross,0,1),B$1)&gt;ROW()-ROW(C$1),OFFSET(ValidCross,SMALL(IF(INDEX(ValidCross,0,1)=B$1,ROW(ValidCross)-CELL("Row",ValidCross)),ROW()-ROW(C$1)+1),1,1,1),"")</f>
        <v/>
      </c>
    </row>
    <row r="94" spans="3:3" x14ac:dyDescent="0.25">
      <c r="C94" t="str">
        <f t="array" aca="1" ref="C94" ca="1">IF(COUNTIF(INDEX(ValidCross,0,1),B$1)&gt;ROW()-ROW(C$1),OFFSET(ValidCross,SMALL(IF(INDEX(ValidCross,0,1)=B$1,ROW(ValidCross)-CELL("Row",ValidCross)),ROW()-ROW(C$1)+1),1,1,1),"")</f>
        <v/>
      </c>
    </row>
    <row r="95" spans="3:3" x14ac:dyDescent="0.25">
      <c r="C95" t="str">
        <f t="array" aca="1" ref="C95" ca="1">IF(COUNTIF(INDEX(ValidCross,0,1),B$1)&gt;ROW()-ROW(C$1),OFFSET(ValidCross,SMALL(IF(INDEX(ValidCross,0,1)=B$1,ROW(ValidCross)-CELL("Row",ValidCross)),ROW()-ROW(C$1)+1),1,1,1),"")</f>
        <v/>
      </c>
    </row>
    <row r="96" spans="3:3" x14ac:dyDescent="0.25">
      <c r="C96" t="str">
        <f t="array" aca="1" ref="C96" ca="1">IF(COUNTIF(INDEX(ValidCross,0,1),B$1)&gt;ROW()-ROW(C$1),OFFSET(ValidCross,SMALL(IF(INDEX(ValidCross,0,1)=B$1,ROW(ValidCross)-CELL("Row",ValidCross)),ROW()-ROW(C$1)+1),1,1,1),"")</f>
        <v/>
      </c>
    </row>
    <row r="97" spans="3:3" x14ac:dyDescent="0.25">
      <c r="C97" t="str">
        <f t="array" aca="1" ref="C97" ca="1">IF(COUNTIF(INDEX(ValidCross,0,1),B$1)&gt;ROW()-ROW(C$1),OFFSET(ValidCross,SMALL(IF(INDEX(ValidCross,0,1)=B$1,ROW(ValidCross)-CELL("Row",ValidCross)),ROW()-ROW(C$1)+1),1,1,1),"")</f>
        <v/>
      </c>
    </row>
    <row r="98" spans="3:3" x14ac:dyDescent="0.25">
      <c r="C98" t="str">
        <f t="array" aca="1" ref="C98" ca="1">IF(COUNTIF(INDEX(ValidCross,0,1),B$1)&gt;ROW()-ROW(C$1),OFFSET(ValidCross,SMALL(IF(INDEX(ValidCross,0,1)=B$1,ROW(ValidCross)-CELL("Row",ValidCross)),ROW()-ROW(C$1)+1),1,1,1),"")</f>
        <v/>
      </c>
    </row>
    <row r="99" spans="3:3" x14ac:dyDescent="0.25">
      <c r="C99" t="str">
        <f t="array" aca="1" ref="C99" ca="1">IF(COUNTIF(INDEX(ValidCross,0,1),B$1)&gt;ROW()-ROW(C$1),OFFSET(ValidCross,SMALL(IF(INDEX(ValidCross,0,1)=B$1,ROW(ValidCross)-CELL("Row",ValidCross)),ROW()-ROW(C$1)+1),1,1,1),"")</f>
        <v/>
      </c>
    </row>
    <row r="100" spans="3:3" x14ac:dyDescent="0.25">
      <c r="C100" t="str">
        <f t="array" aca="1" ref="C100" ca="1">IF(COUNTIF(INDEX(ValidCross,0,1),B$1)&gt;ROW()-ROW(C$1),OFFSET(ValidCross,SMALL(IF(INDEX(ValidCross,0,1)=B$1,ROW(ValidCross)-CELL("Row",ValidCross)),ROW()-ROW(C$1)+1),1,1,1),"")</f>
        <v/>
      </c>
    </row>
    <row r="101" spans="3:3" x14ac:dyDescent="0.25">
      <c r="C101" t="str">
        <f t="array" aca="1" ref="C101" ca="1">IF(COUNTIF(INDEX(ValidCross,0,1),B$1)&gt;ROW()-ROW(C$1),OFFSET(ValidCross,SMALL(IF(INDEX(ValidCross,0,1)=B$1,ROW(ValidCross)-CELL("Row",ValidCross)),ROW()-ROW(C$1)+1),1,1,1),"")</f>
        <v/>
      </c>
    </row>
    <row r="102" spans="3:3" x14ac:dyDescent="0.25">
      <c r="C102" t="str">
        <f t="array" aca="1" ref="C102" ca="1">IF(COUNTIF(INDEX(ValidCross,0,1),B$1)&gt;ROW()-ROW(C$1),OFFSET(ValidCross,SMALL(IF(INDEX(ValidCross,0,1)=B$1,ROW(ValidCross)-CELL("Row",ValidCross)),ROW()-ROW(C$1)+1),1,1,1),"")</f>
        <v/>
      </c>
    </row>
    <row r="103" spans="3:3" x14ac:dyDescent="0.25">
      <c r="C103" t="str">
        <f t="array" aca="1" ref="C103" ca="1">IF(COUNTIF(INDEX(ValidCross,0,1),B$1)&gt;ROW()-ROW(C$1),OFFSET(ValidCross,SMALL(IF(INDEX(ValidCross,0,1)=B$1,ROW(ValidCross)-CELL("Row",ValidCross)),ROW()-ROW(C$1)+1),1,1,1),"")</f>
        <v/>
      </c>
    </row>
    <row r="104" spans="3:3" x14ac:dyDescent="0.25">
      <c r="C104" t="str">
        <f t="array" aca="1" ref="C104" ca="1">IF(COUNTIF(INDEX(ValidCross,0,1),B$1)&gt;ROW()-ROW(C$1),OFFSET(ValidCross,SMALL(IF(INDEX(ValidCross,0,1)=B$1,ROW(ValidCross)-CELL("Row",ValidCross)),ROW()-ROW(C$1)+1),1,1,1),"")</f>
        <v/>
      </c>
    </row>
    <row r="105" spans="3:3" x14ac:dyDescent="0.25">
      <c r="C105" t="str">
        <f t="array" aca="1" ref="C105" ca="1">IF(COUNTIF(INDEX(ValidCross,0,1),B$1)&gt;ROW()-ROW(C$1),OFFSET(ValidCross,SMALL(IF(INDEX(ValidCross,0,1)=B$1,ROW(ValidCross)-CELL("Row",ValidCross)),ROW()-ROW(C$1)+1),1,1,1),"")</f>
        <v/>
      </c>
    </row>
    <row r="106" spans="3:3" x14ac:dyDescent="0.25">
      <c r="C106" t="str">
        <f t="array" aca="1" ref="C106" ca="1">IF(COUNTIF(INDEX(ValidCross,0,1),B$1)&gt;ROW()-ROW(C$1),OFFSET(ValidCross,SMALL(IF(INDEX(ValidCross,0,1)=B$1,ROW(ValidCross)-CELL("Row",ValidCross)),ROW()-ROW(C$1)+1),1,1,1),"")</f>
        <v/>
      </c>
    </row>
    <row r="107" spans="3:3" x14ac:dyDescent="0.25">
      <c r="C107" t="str">
        <f t="array" aca="1" ref="C107" ca="1">IF(COUNTIF(INDEX(ValidCross,0,1),B$1)&gt;ROW()-ROW(C$1),OFFSET(ValidCross,SMALL(IF(INDEX(ValidCross,0,1)=B$1,ROW(ValidCross)-CELL("Row",ValidCross)),ROW()-ROW(C$1)+1),1,1,1),"")</f>
        <v/>
      </c>
    </row>
    <row r="108" spans="3:3" x14ac:dyDescent="0.25">
      <c r="C108" t="str">
        <f t="array" aca="1" ref="C108" ca="1">IF(COUNTIF(INDEX(ValidCross,0,1),B$1)&gt;ROW()-ROW(C$1),OFFSET(ValidCross,SMALL(IF(INDEX(ValidCross,0,1)=B$1,ROW(ValidCross)-CELL("Row",ValidCross)),ROW()-ROW(C$1)+1),1,1,1),"")</f>
        <v/>
      </c>
    </row>
    <row r="109" spans="3:3" x14ac:dyDescent="0.25">
      <c r="C109" t="str">
        <f t="array" aca="1" ref="C109" ca="1">IF(COUNTIF(INDEX(ValidCross,0,1),B$1)&gt;ROW()-ROW(C$1),OFFSET(ValidCross,SMALL(IF(INDEX(ValidCross,0,1)=B$1,ROW(ValidCross)-CELL("Row",ValidCross)),ROW()-ROW(C$1)+1),1,1,1),"")</f>
        <v/>
      </c>
    </row>
    <row r="110" spans="3:3" x14ac:dyDescent="0.25">
      <c r="C110" t="str">
        <f t="array" aca="1" ref="C110" ca="1">IF(COUNTIF(INDEX(ValidCross,0,1),B$1)&gt;ROW()-ROW(C$1),OFFSET(ValidCross,SMALL(IF(INDEX(ValidCross,0,1)=B$1,ROW(ValidCross)-CELL("Row",ValidCross)),ROW()-ROW(C$1)+1),1,1,1),"")</f>
        <v/>
      </c>
    </row>
    <row r="111" spans="3:3" x14ac:dyDescent="0.25">
      <c r="C111" t="str">
        <f t="array" aca="1" ref="C111" ca="1">IF(COUNTIF(INDEX(ValidCross,0,1),B$1)&gt;ROW()-ROW(C$1),OFFSET(ValidCross,SMALL(IF(INDEX(ValidCross,0,1)=B$1,ROW(ValidCross)-CELL("Row",ValidCross)),ROW()-ROW(C$1)+1),1,1,1),"")</f>
        <v/>
      </c>
    </row>
    <row r="112" spans="3:3" x14ac:dyDescent="0.25">
      <c r="C112" t="str">
        <f t="array" aca="1" ref="C112" ca="1">IF(COUNTIF(INDEX(ValidCross,0,1),B$1)&gt;ROW()-ROW(C$1),OFFSET(ValidCross,SMALL(IF(INDEX(ValidCross,0,1)=B$1,ROW(ValidCross)-CELL("Row",ValidCross)),ROW()-ROW(C$1)+1),1,1,1),"")</f>
        <v/>
      </c>
    </row>
    <row r="113" spans="3:3" x14ac:dyDescent="0.25">
      <c r="C113" t="str">
        <f t="array" aca="1" ref="C113" ca="1">IF(COUNTIF(INDEX(ValidCross,0,1),B$1)&gt;ROW()-ROW(C$1),OFFSET(ValidCross,SMALL(IF(INDEX(ValidCross,0,1)=B$1,ROW(ValidCross)-CELL("Row",ValidCross)),ROW()-ROW(C$1)+1),1,1,1),"")</f>
        <v/>
      </c>
    </row>
    <row r="114" spans="3:3" x14ac:dyDescent="0.25">
      <c r="C114" t="str">
        <f t="array" aca="1" ref="C114" ca="1">IF(COUNTIF(INDEX(ValidCross,0,1),B$1)&gt;ROW()-ROW(C$1),OFFSET(ValidCross,SMALL(IF(INDEX(ValidCross,0,1)=B$1,ROW(ValidCross)-CELL("Row",ValidCross)),ROW()-ROW(C$1)+1),1,1,1),"")</f>
        <v/>
      </c>
    </row>
    <row r="115" spans="3:3" x14ac:dyDescent="0.25">
      <c r="C115" t="str">
        <f t="array" aca="1" ref="C115" ca="1">IF(COUNTIF(INDEX(ValidCross,0,1),B$1)&gt;ROW()-ROW(C$1),OFFSET(ValidCross,SMALL(IF(INDEX(ValidCross,0,1)=B$1,ROW(ValidCross)-CELL("Row",ValidCross)),ROW()-ROW(C$1)+1),1,1,1),"")</f>
        <v/>
      </c>
    </row>
    <row r="116" spans="3:3" x14ac:dyDescent="0.25">
      <c r="C116" t="str">
        <f t="array" aca="1" ref="C116" ca="1">IF(COUNTIF(INDEX(ValidCross,0,1),B$1)&gt;ROW()-ROW(C$1),OFFSET(ValidCross,SMALL(IF(INDEX(ValidCross,0,1)=B$1,ROW(ValidCross)-CELL("Row",ValidCross)),ROW()-ROW(C$1)+1),1,1,1),"")</f>
        <v/>
      </c>
    </row>
    <row r="117" spans="3:3" x14ac:dyDescent="0.25">
      <c r="C117" t="str">
        <f t="array" aca="1" ref="C117" ca="1">IF(COUNTIF(INDEX(ValidCross,0,1),B$1)&gt;ROW()-ROW(C$1),OFFSET(ValidCross,SMALL(IF(INDEX(ValidCross,0,1)=B$1,ROW(ValidCross)-CELL("Row",ValidCross)),ROW()-ROW(C$1)+1),1,1,1),"")</f>
        <v/>
      </c>
    </row>
    <row r="118" spans="3:3" x14ac:dyDescent="0.25">
      <c r="C118" t="str">
        <f t="array" aca="1" ref="C118" ca="1">IF(COUNTIF(INDEX(ValidCross,0,1),B$1)&gt;ROW()-ROW(C$1),OFFSET(ValidCross,SMALL(IF(INDEX(ValidCross,0,1)=B$1,ROW(ValidCross)-CELL("Row",ValidCross)),ROW()-ROW(C$1)+1),1,1,1),"")</f>
        <v/>
      </c>
    </row>
    <row r="119" spans="3:3" x14ac:dyDescent="0.25">
      <c r="C119" t="str">
        <f t="array" aca="1" ref="C119" ca="1">IF(COUNTIF(INDEX(ValidCross,0,1),B$1)&gt;ROW()-ROW(C$1),OFFSET(ValidCross,SMALL(IF(INDEX(ValidCross,0,1)=B$1,ROW(ValidCross)-CELL("Row",ValidCross)),ROW()-ROW(C$1)+1),1,1,1),"")</f>
        <v/>
      </c>
    </row>
    <row r="120" spans="3:3" x14ac:dyDescent="0.25">
      <c r="C120" t="str">
        <f t="array" aca="1" ref="C120" ca="1">IF(COUNTIF(INDEX(ValidCross,0,1),B$1)&gt;ROW()-ROW(C$1),OFFSET(ValidCross,SMALL(IF(INDEX(ValidCross,0,1)=B$1,ROW(ValidCross)-CELL("Row",ValidCross)),ROW()-ROW(C$1)+1),1,1,1),"")</f>
        <v/>
      </c>
    </row>
    <row r="121" spans="3:3" x14ac:dyDescent="0.25">
      <c r="C121" t="str">
        <f t="array" aca="1" ref="C121" ca="1">IF(COUNTIF(INDEX(ValidCross,0,1),B$1)&gt;ROW()-ROW(C$1),OFFSET(ValidCross,SMALL(IF(INDEX(ValidCross,0,1)=B$1,ROW(ValidCross)-CELL("Row",ValidCross)),ROW()-ROW(C$1)+1),1,1,1),"")</f>
        <v/>
      </c>
    </row>
    <row r="122" spans="3:3" x14ac:dyDescent="0.25">
      <c r="C122" t="str">
        <f t="array" aca="1" ref="C122" ca="1">IF(COUNTIF(INDEX(ValidCross,0,1),B$1)&gt;ROW()-ROW(C$1),OFFSET(ValidCross,SMALL(IF(INDEX(ValidCross,0,1)=B$1,ROW(ValidCross)-CELL("Row",ValidCross)),ROW()-ROW(C$1)+1),1,1,1),"")</f>
        <v/>
      </c>
    </row>
    <row r="123" spans="3:3" x14ac:dyDescent="0.25">
      <c r="C123" t="str">
        <f t="array" aca="1" ref="C123" ca="1">IF(COUNTIF(INDEX(ValidCross,0,1),B$1)&gt;ROW()-ROW(C$1),OFFSET(ValidCross,SMALL(IF(INDEX(ValidCross,0,1)=B$1,ROW(ValidCross)-CELL("Row",ValidCross)),ROW()-ROW(C$1)+1),1,1,1),"")</f>
        <v/>
      </c>
    </row>
    <row r="124" spans="3:3" x14ac:dyDescent="0.25">
      <c r="C124" t="str">
        <f t="array" aca="1" ref="C124" ca="1">IF(COUNTIF(INDEX(ValidCross,0,1),B$1)&gt;ROW()-ROW(C$1),OFFSET(ValidCross,SMALL(IF(INDEX(ValidCross,0,1)=B$1,ROW(ValidCross)-CELL("Row",ValidCross)),ROW()-ROW(C$1)+1),1,1,1),"")</f>
        <v/>
      </c>
    </row>
    <row r="125" spans="3:3" x14ac:dyDescent="0.25">
      <c r="C125" t="str">
        <f t="array" aca="1" ref="C125" ca="1">IF(COUNTIF(INDEX(ValidCross,0,1),B$1)&gt;ROW()-ROW(C$1),OFFSET(ValidCross,SMALL(IF(INDEX(ValidCross,0,1)=B$1,ROW(ValidCross)-CELL("Row",ValidCross)),ROW()-ROW(C$1)+1),1,1,1),"")</f>
        <v/>
      </c>
    </row>
    <row r="126" spans="3:3" x14ac:dyDescent="0.25">
      <c r="C126" t="str">
        <f t="array" aca="1" ref="C126" ca="1">IF(COUNTIF(INDEX(ValidCross,0,1),B$1)&gt;ROW()-ROW(C$1),OFFSET(ValidCross,SMALL(IF(INDEX(ValidCross,0,1)=B$1,ROW(ValidCross)-CELL("Row",ValidCross)),ROW()-ROW(C$1)+1),1,1,1),"")</f>
        <v/>
      </c>
    </row>
    <row r="127" spans="3:3" x14ac:dyDescent="0.25">
      <c r="C127" t="str">
        <f t="array" aca="1" ref="C127" ca="1">IF(COUNTIF(INDEX(ValidCross,0,1),B$1)&gt;ROW()-ROW(C$1),OFFSET(ValidCross,SMALL(IF(INDEX(ValidCross,0,1)=B$1,ROW(ValidCross)-CELL("Row",ValidCross)),ROW()-ROW(C$1)+1),1,1,1),"")</f>
        <v/>
      </c>
    </row>
    <row r="128" spans="3:3" x14ac:dyDescent="0.25">
      <c r="C128" t="str">
        <f t="array" aca="1" ref="C128" ca="1">IF(COUNTIF(INDEX(ValidCross,0,1),B$1)&gt;ROW()-ROW(C$1),OFFSET(ValidCross,SMALL(IF(INDEX(ValidCross,0,1)=B$1,ROW(ValidCross)-CELL("Row",ValidCross)),ROW()-ROW(C$1)+1),1,1,1),"")</f>
        <v/>
      </c>
    </row>
    <row r="129" spans="3:3" x14ac:dyDescent="0.25">
      <c r="C129" t="str">
        <f t="array" aca="1" ref="C129" ca="1">IF(COUNTIF(INDEX(ValidCross,0,1),B$1)&gt;ROW()-ROW(C$1),OFFSET(ValidCross,SMALL(IF(INDEX(ValidCross,0,1)=B$1,ROW(ValidCross)-CELL("Row",ValidCross)),ROW()-ROW(C$1)+1),1,1,1),"")</f>
        <v/>
      </c>
    </row>
    <row r="130" spans="3:3" x14ac:dyDescent="0.25">
      <c r="C130" t="str">
        <f t="array" aca="1" ref="C130" ca="1">IF(COUNTIF(INDEX(ValidCross,0,1),B$1)&gt;ROW()-ROW(C$1),OFFSET(ValidCross,SMALL(IF(INDEX(ValidCross,0,1)=B$1,ROW(ValidCross)-CELL("Row",ValidCross)),ROW()-ROW(C$1)+1),1,1,1),"")</f>
        <v/>
      </c>
    </row>
    <row r="131" spans="3:3" x14ac:dyDescent="0.25">
      <c r="C131" t="str">
        <f t="array" aca="1" ref="C131" ca="1">IF(COUNTIF(INDEX(ValidCross,0,1),B$1)&gt;ROW()-ROW(C$1),OFFSET(ValidCross,SMALL(IF(INDEX(ValidCross,0,1)=B$1,ROW(ValidCross)-CELL("Row",ValidCross)),ROW()-ROW(C$1)+1),1,1,1),"")</f>
        <v/>
      </c>
    </row>
    <row r="132" spans="3:3" x14ac:dyDescent="0.25">
      <c r="C132" t="str">
        <f t="array" aca="1" ref="C132" ca="1">IF(COUNTIF(INDEX(ValidCross,0,1),B$1)&gt;ROW()-ROW(C$1),OFFSET(ValidCross,SMALL(IF(INDEX(ValidCross,0,1)=B$1,ROW(ValidCross)-CELL("Row",ValidCross)),ROW()-ROW(C$1)+1),1,1,1),"")</f>
        <v/>
      </c>
    </row>
    <row r="133" spans="3:3" x14ac:dyDescent="0.25">
      <c r="C133" t="str">
        <f t="array" aca="1" ref="C133" ca="1">IF(COUNTIF(INDEX(ValidCross,0,1),B$1)&gt;ROW()-ROW(C$1),OFFSET(ValidCross,SMALL(IF(INDEX(ValidCross,0,1)=B$1,ROW(ValidCross)-CELL("Row",ValidCross)),ROW()-ROW(C$1)+1),1,1,1),"")</f>
        <v/>
      </c>
    </row>
    <row r="134" spans="3:3" x14ac:dyDescent="0.25">
      <c r="C134" t="str">
        <f t="array" aca="1" ref="C134" ca="1">IF(COUNTIF(INDEX(ValidCross,0,1),B$1)&gt;ROW()-ROW(C$1),OFFSET(ValidCross,SMALL(IF(INDEX(ValidCross,0,1)=B$1,ROW(ValidCross)-CELL("Row",ValidCross)),ROW()-ROW(C$1)+1),1,1,1),"")</f>
        <v/>
      </c>
    </row>
    <row r="135" spans="3:3" x14ac:dyDescent="0.25">
      <c r="C135" t="str">
        <f t="array" aca="1" ref="C135" ca="1">IF(COUNTIF(INDEX(ValidCross,0,1),B$1)&gt;ROW()-ROW(C$1),OFFSET(ValidCross,SMALL(IF(INDEX(ValidCross,0,1)=B$1,ROW(ValidCross)-CELL("Row",ValidCross)),ROW()-ROW(C$1)+1),1,1,1),"")</f>
        <v/>
      </c>
    </row>
    <row r="136" spans="3:3" x14ac:dyDescent="0.25">
      <c r="C136" t="str">
        <f t="array" aca="1" ref="C136" ca="1">IF(COUNTIF(INDEX(ValidCross,0,1),B$1)&gt;ROW()-ROW(C$1),OFFSET(ValidCross,SMALL(IF(INDEX(ValidCross,0,1)=B$1,ROW(ValidCross)-CELL("Row",ValidCross)),ROW()-ROW(C$1)+1),1,1,1),"")</f>
        <v/>
      </c>
    </row>
    <row r="137" spans="3:3" x14ac:dyDescent="0.25">
      <c r="C137" t="str">
        <f t="array" aca="1" ref="C137" ca="1">IF(COUNTIF(INDEX(ValidCross,0,1),B$1)&gt;ROW()-ROW(C$1),OFFSET(ValidCross,SMALL(IF(INDEX(ValidCross,0,1)=B$1,ROW(ValidCross)-CELL("Row",ValidCross)),ROW()-ROW(C$1)+1),1,1,1),"")</f>
        <v/>
      </c>
    </row>
    <row r="138" spans="3:3" x14ac:dyDescent="0.25">
      <c r="C138" t="str">
        <f t="array" aca="1" ref="C138" ca="1">IF(COUNTIF(INDEX(ValidCross,0,1),B$1)&gt;ROW()-ROW(C$1),OFFSET(ValidCross,SMALL(IF(INDEX(ValidCross,0,1)=B$1,ROW(ValidCross)-CELL("Row",ValidCross)),ROW()-ROW(C$1)+1),1,1,1),"")</f>
        <v/>
      </c>
    </row>
    <row r="139" spans="3:3" x14ac:dyDescent="0.25">
      <c r="C139" t="str">
        <f t="array" aca="1" ref="C139" ca="1">IF(COUNTIF(INDEX(ValidCross,0,1),B$1)&gt;ROW()-ROW(C$1),OFFSET(ValidCross,SMALL(IF(INDEX(ValidCross,0,1)=B$1,ROW(ValidCross)-CELL("Row",ValidCross)),ROW()-ROW(C$1)+1),1,1,1),"")</f>
        <v/>
      </c>
    </row>
    <row r="140" spans="3:3" x14ac:dyDescent="0.25">
      <c r="C140" t="str">
        <f t="array" aca="1" ref="C140" ca="1">IF(COUNTIF(INDEX(ValidCross,0,1),B$1)&gt;ROW()-ROW(C$1),OFFSET(ValidCross,SMALL(IF(INDEX(ValidCross,0,1)=B$1,ROW(ValidCross)-CELL("Row",ValidCross)),ROW()-ROW(C$1)+1),1,1,1),"")</f>
        <v/>
      </c>
    </row>
    <row r="141" spans="3:3" x14ac:dyDescent="0.25">
      <c r="C141" t="str">
        <f t="array" aca="1" ref="C141" ca="1">IF(COUNTIF(INDEX(ValidCross,0,1),B$1)&gt;ROW()-ROW(C$1),OFFSET(ValidCross,SMALL(IF(INDEX(ValidCross,0,1)=B$1,ROW(ValidCross)-CELL("Row",ValidCross)),ROW()-ROW(C$1)+1),1,1,1),"")</f>
        <v/>
      </c>
    </row>
    <row r="142" spans="3:3" x14ac:dyDescent="0.25">
      <c r="C142" t="str">
        <f t="array" aca="1" ref="C142" ca="1">IF(COUNTIF(INDEX(ValidCross,0,1),B$1)&gt;ROW()-ROW(C$1),OFFSET(ValidCross,SMALL(IF(INDEX(ValidCross,0,1)=B$1,ROW(ValidCross)-CELL("Row",ValidCross)),ROW()-ROW(C$1)+1),1,1,1),"")</f>
        <v/>
      </c>
    </row>
    <row r="143" spans="3:3" x14ac:dyDescent="0.25">
      <c r="C143" t="str">
        <f t="array" aca="1" ref="C143" ca="1">IF(COUNTIF(INDEX(ValidCross,0,1),B$1)&gt;ROW()-ROW(C$1),OFFSET(ValidCross,SMALL(IF(INDEX(ValidCross,0,1)=B$1,ROW(ValidCross)-CELL("Row",ValidCross)),ROW()-ROW(C$1)+1),1,1,1),"")</f>
        <v/>
      </c>
    </row>
    <row r="144" spans="3:3" x14ac:dyDescent="0.25">
      <c r="C144" t="str">
        <f t="array" aca="1" ref="C144" ca="1">IF(COUNTIF(INDEX(ValidCross,0,1),B$1)&gt;ROW()-ROW(C$1),OFFSET(ValidCross,SMALL(IF(INDEX(ValidCross,0,1)=B$1,ROW(ValidCross)-CELL("Row",ValidCross)),ROW()-ROW(C$1)+1),1,1,1),"")</f>
        <v/>
      </c>
    </row>
    <row r="145" spans="3:3" x14ac:dyDescent="0.25">
      <c r="C145" t="str">
        <f t="array" aca="1" ref="C145" ca="1">IF(COUNTIF(INDEX(ValidCross,0,1),B$1)&gt;ROW()-ROW(C$1),OFFSET(ValidCross,SMALL(IF(INDEX(ValidCross,0,1)=B$1,ROW(ValidCross)-CELL("Row",ValidCross)),ROW()-ROW(C$1)+1),1,1,1),"")</f>
        <v/>
      </c>
    </row>
    <row r="146" spans="3:3" x14ac:dyDescent="0.25">
      <c r="C146" t="str">
        <f t="array" aca="1" ref="C146" ca="1">IF(COUNTIF(INDEX(ValidCross,0,1),B$1)&gt;ROW()-ROW(C$1),OFFSET(ValidCross,SMALL(IF(INDEX(ValidCross,0,1)=B$1,ROW(ValidCross)-CELL("Row",ValidCross)),ROW()-ROW(C$1)+1),1,1,1),"")</f>
        <v/>
      </c>
    </row>
    <row r="147" spans="3:3" x14ac:dyDescent="0.25">
      <c r="C147" t="str">
        <f t="array" aca="1" ref="C147" ca="1">IF(COUNTIF(INDEX(ValidCross,0,1),B$1)&gt;ROW()-ROW(C$1),OFFSET(ValidCross,SMALL(IF(INDEX(ValidCross,0,1)=B$1,ROW(ValidCross)-CELL("Row",ValidCross)),ROW()-ROW(C$1)+1),1,1,1),"")</f>
        <v/>
      </c>
    </row>
    <row r="148" spans="3:3" x14ac:dyDescent="0.25">
      <c r="C148" t="str">
        <f t="array" aca="1" ref="C148" ca="1">IF(COUNTIF(INDEX(ValidCross,0,1),B$1)&gt;ROW()-ROW(C$1),OFFSET(ValidCross,SMALL(IF(INDEX(ValidCross,0,1)=B$1,ROW(ValidCross)-CELL("Row",ValidCross)),ROW()-ROW(C$1)+1),1,1,1),"")</f>
        <v/>
      </c>
    </row>
    <row r="149" spans="3:3" x14ac:dyDescent="0.25">
      <c r="C149" t="str">
        <f t="array" aca="1" ref="C149" ca="1">IF(COUNTIF(INDEX(ValidCross,0,1),B$1)&gt;ROW()-ROW(C$1),OFFSET(ValidCross,SMALL(IF(INDEX(ValidCross,0,1)=B$1,ROW(ValidCross)-CELL("Row",ValidCross)),ROW()-ROW(C$1)+1),1,1,1),"")</f>
        <v/>
      </c>
    </row>
    <row r="150" spans="3:3" x14ac:dyDescent="0.25">
      <c r="C150" t="str">
        <f t="array" aca="1" ref="C150" ca="1">IF(COUNTIF(INDEX(ValidCross,0,1),B$1)&gt;ROW()-ROW(C$1),OFFSET(ValidCross,SMALL(IF(INDEX(ValidCross,0,1)=B$1,ROW(ValidCross)-CELL("Row",ValidCross)),ROW()-ROW(C$1)+1),1,1,1),"")</f>
        <v/>
      </c>
    </row>
    <row r="151" spans="3:3" x14ac:dyDescent="0.25">
      <c r="C151" t="str">
        <f t="array" aca="1" ref="C151" ca="1">IF(COUNTIF(INDEX(ValidCross,0,1),B$1)&gt;ROW()-ROW(C$1),OFFSET(ValidCross,SMALL(IF(INDEX(ValidCross,0,1)=B$1,ROW(ValidCross)-CELL("Row",ValidCross)),ROW()-ROW(C$1)+1),1,1,1),"")</f>
        <v/>
      </c>
    </row>
    <row r="152" spans="3:3" x14ac:dyDescent="0.25">
      <c r="C152" t="str">
        <f t="array" aca="1" ref="C152" ca="1">IF(COUNTIF(INDEX(ValidCross,0,1),B$1)&gt;ROW()-ROW(C$1),OFFSET(ValidCross,SMALL(IF(INDEX(ValidCross,0,1)=B$1,ROW(ValidCross)-CELL("Row",ValidCross)),ROW()-ROW(C$1)+1),1,1,1),"")</f>
        <v/>
      </c>
    </row>
    <row r="153" spans="3:3" x14ac:dyDescent="0.25">
      <c r="C153" t="str">
        <f t="array" aca="1" ref="C153" ca="1">IF(COUNTIF(INDEX(ValidCross,0,1),B$1)&gt;ROW()-ROW(C$1),OFFSET(ValidCross,SMALL(IF(INDEX(ValidCross,0,1)=B$1,ROW(ValidCross)-CELL("Row",ValidCross)),ROW()-ROW(C$1)+1),1,1,1),"")</f>
        <v/>
      </c>
    </row>
    <row r="154" spans="3:3" x14ac:dyDescent="0.25">
      <c r="C154" t="str">
        <f t="array" aca="1" ref="C154" ca="1">IF(COUNTIF(INDEX(ValidCross,0,1),B$1)&gt;ROW()-ROW(C$1),OFFSET(ValidCross,SMALL(IF(INDEX(ValidCross,0,1)=B$1,ROW(ValidCross)-CELL("Row",ValidCross)),ROW()-ROW(C$1)+1),1,1,1),"")</f>
        <v/>
      </c>
    </row>
    <row r="155" spans="3:3" x14ac:dyDescent="0.25">
      <c r="C155" t="str">
        <f t="array" aca="1" ref="C155" ca="1">IF(COUNTIF(INDEX(ValidCross,0,1),B$1)&gt;ROW()-ROW(C$1),OFFSET(ValidCross,SMALL(IF(INDEX(ValidCross,0,1)=B$1,ROW(ValidCross)-CELL("Row",ValidCross)),ROW()-ROW(C$1)+1),1,1,1),"")</f>
        <v/>
      </c>
    </row>
    <row r="156" spans="3:3" x14ac:dyDescent="0.25">
      <c r="C156" t="str">
        <f t="array" aca="1" ref="C156" ca="1">IF(COUNTIF(INDEX(ValidCross,0,1),B$1)&gt;ROW()-ROW(C$1),OFFSET(ValidCross,SMALL(IF(INDEX(ValidCross,0,1)=B$1,ROW(ValidCross)-CELL("Row",ValidCross)),ROW()-ROW(C$1)+1),1,1,1),"")</f>
        <v/>
      </c>
    </row>
    <row r="157" spans="3:3" x14ac:dyDescent="0.25">
      <c r="C157" t="str">
        <f t="array" aca="1" ref="C157" ca="1">IF(COUNTIF(INDEX(ValidCross,0,1),B$1)&gt;ROW()-ROW(C$1),OFFSET(ValidCross,SMALL(IF(INDEX(ValidCross,0,1)=B$1,ROW(ValidCross)-CELL("Row",ValidCross)),ROW()-ROW(C$1)+1),1,1,1),"")</f>
        <v/>
      </c>
    </row>
    <row r="158" spans="3:3" x14ac:dyDescent="0.25">
      <c r="C158" t="str">
        <f t="array" aca="1" ref="C158" ca="1">IF(COUNTIF(INDEX(ValidCross,0,1),B$1)&gt;ROW()-ROW(C$1),OFFSET(ValidCross,SMALL(IF(INDEX(ValidCross,0,1)=B$1,ROW(ValidCross)-CELL("Row",ValidCross)),ROW()-ROW(C$1)+1),1,1,1),"")</f>
        <v/>
      </c>
    </row>
    <row r="159" spans="3:3" x14ac:dyDescent="0.25">
      <c r="C159" t="str">
        <f t="array" aca="1" ref="C159" ca="1">IF(COUNTIF(INDEX(ValidCross,0,1),B$1)&gt;ROW()-ROW(C$1),OFFSET(ValidCross,SMALL(IF(INDEX(ValidCross,0,1)=B$1,ROW(ValidCross)-CELL("Row",ValidCross)),ROW()-ROW(C$1)+1),1,1,1),"")</f>
        <v/>
      </c>
    </row>
    <row r="160" spans="3:3" x14ac:dyDescent="0.25">
      <c r="C160" t="str">
        <f t="array" aca="1" ref="C160" ca="1">IF(COUNTIF(INDEX(ValidCross,0,1),B$1)&gt;ROW()-ROW(C$1),OFFSET(ValidCross,SMALL(IF(INDEX(ValidCross,0,1)=B$1,ROW(ValidCross)-CELL("Row",ValidCross)),ROW()-ROW(C$1)+1),1,1,1),"")</f>
        <v/>
      </c>
    </row>
    <row r="161" spans="3:3" x14ac:dyDescent="0.25">
      <c r="C161" t="str">
        <f t="array" aca="1" ref="C161" ca="1">IF(COUNTIF(INDEX(ValidCross,0,1),B$1)&gt;ROW()-ROW(C$1),OFFSET(ValidCross,SMALL(IF(INDEX(ValidCross,0,1)=B$1,ROW(ValidCross)-CELL("Row",ValidCross)),ROW()-ROW(C$1)+1),1,1,1),"")</f>
        <v/>
      </c>
    </row>
    <row r="162" spans="3:3" x14ac:dyDescent="0.25">
      <c r="C162" t="str">
        <f t="array" aca="1" ref="C162" ca="1">IF(COUNTIF(INDEX(ValidCross,0,1),B$1)&gt;ROW()-ROW(C$1),OFFSET(ValidCross,SMALL(IF(INDEX(ValidCross,0,1)=B$1,ROW(ValidCross)-CELL("Row",ValidCross)),ROW()-ROW(C$1)+1),1,1,1),"")</f>
        <v/>
      </c>
    </row>
    <row r="163" spans="3:3" x14ac:dyDescent="0.25">
      <c r="C163" t="str">
        <f t="array" aca="1" ref="C163" ca="1">IF(COUNTIF(INDEX(ValidCross,0,1),B$1)&gt;ROW()-ROW(C$1),OFFSET(ValidCross,SMALL(IF(INDEX(ValidCross,0,1)=B$1,ROW(ValidCross)-CELL("Row",ValidCross)),ROW()-ROW(C$1)+1),1,1,1),"")</f>
        <v/>
      </c>
    </row>
    <row r="164" spans="3:3" x14ac:dyDescent="0.25">
      <c r="C164" t="str">
        <f t="array" aca="1" ref="C164" ca="1">IF(COUNTIF(INDEX(ValidCross,0,1),B$1)&gt;ROW()-ROW(C$1),OFFSET(ValidCross,SMALL(IF(INDEX(ValidCross,0,1)=B$1,ROW(ValidCross)-CELL("Row",ValidCross)),ROW()-ROW(C$1)+1),1,1,1),"")</f>
        <v/>
      </c>
    </row>
    <row r="165" spans="3:3" x14ac:dyDescent="0.25">
      <c r="C165" t="str">
        <f t="array" aca="1" ref="C165" ca="1">IF(COUNTIF(INDEX(ValidCross,0,1),B$1)&gt;ROW()-ROW(C$1),OFFSET(ValidCross,SMALL(IF(INDEX(ValidCross,0,1)=B$1,ROW(ValidCross)-CELL("Row",ValidCross)),ROW()-ROW(C$1)+1),1,1,1),"")</f>
        <v/>
      </c>
    </row>
    <row r="166" spans="3:3" x14ac:dyDescent="0.25">
      <c r="C166" t="str">
        <f t="array" aca="1" ref="C166" ca="1">IF(COUNTIF(INDEX(ValidCross,0,1),B$1)&gt;ROW()-ROW(C$1),OFFSET(ValidCross,SMALL(IF(INDEX(ValidCross,0,1)=B$1,ROW(ValidCross)-CELL("Row",ValidCross)),ROW()-ROW(C$1)+1),1,1,1),"")</f>
        <v/>
      </c>
    </row>
    <row r="167" spans="3:3" x14ac:dyDescent="0.25">
      <c r="C167" t="str">
        <f t="array" aca="1" ref="C167" ca="1">IF(COUNTIF(INDEX(ValidCross,0,1),B$1)&gt;ROW()-ROW(C$1),OFFSET(ValidCross,SMALL(IF(INDEX(ValidCross,0,1)=B$1,ROW(ValidCross)-CELL("Row",ValidCross)),ROW()-ROW(C$1)+1),1,1,1),"")</f>
        <v/>
      </c>
    </row>
    <row r="168" spans="3:3" x14ac:dyDescent="0.25">
      <c r="C168" t="str">
        <f t="array" aca="1" ref="C168" ca="1">IF(COUNTIF(INDEX(ValidCross,0,1),B$1)&gt;ROW()-ROW(C$1),OFFSET(ValidCross,SMALL(IF(INDEX(ValidCross,0,1)=B$1,ROW(ValidCross)-CELL("Row",ValidCross)),ROW()-ROW(C$1)+1),1,1,1),"")</f>
        <v/>
      </c>
    </row>
    <row r="169" spans="3:3" x14ac:dyDescent="0.25">
      <c r="C169" t="str">
        <f t="array" aca="1" ref="C169" ca="1">IF(COUNTIF(INDEX(ValidCross,0,1),B$1)&gt;ROW()-ROW(C$1),OFFSET(ValidCross,SMALL(IF(INDEX(ValidCross,0,1)=B$1,ROW(ValidCross)-CELL("Row",ValidCross)),ROW()-ROW(C$1)+1),1,1,1),"")</f>
        <v/>
      </c>
    </row>
    <row r="170" spans="3:3" x14ac:dyDescent="0.25">
      <c r="C170" t="str">
        <f t="array" aca="1" ref="C170" ca="1">IF(COUNTIF(INDEX(ValidCross,0,1),B$1)&gt;ROW()-ROW(C$1),OFFSET(ValidCross,SMALL(IF(INDEX(ValidCross,0,1)=B$1,ROW(ValidCross)-CELL("Row",ValidCross)),ROW()-ROW(C$1)+1),1,1,1),"")</f>
        <v/>
      </c>
    </row>
    <row r="171" spans="3:3" x14ac:dyDescent="0.25">
      <c r="C171" t="str">
        <f t="array" aca="1" ref="C171" ca="1">IF(COUNTIF(INDEX(ValidCross,0,1),B$1)&gt;ROW()-ROW(C$1),OFFSET(ValidCross,SMALL(IF(INDEX(ValidCross,0,1)=B$1,ROW(ValidCross)-CELL("Row",ValidCross)),ROW()-ROW(C$1)+1),1,1,1),"")</f>
        <v/>
      </c>
    </row>
    <row r="172" spans="3:3" x14ac:dyDescent="0.25">
      <c r="C172" t="str">
        <f t="array" aca="1" ref="C172" ca="1">IF(COUNTIF(INDEX(ValidCross,0,1),B$1)&gt;ROW()-ROW(C$1),OFFSET(ValidCross,SMALL(IF(INDEX(ValidCross,0,1)=B$1,ROW(ValidCross)-CELL("Row",ValidCross)),ROW()-ROW(C$1)+1),1,1,1),"")</f>
        <v/>
      </c>
    </row>
    <row r="173" spans="3:3" x14ac:dyDescent="0.25">
      <c r="C173" t="str">
        <f t="array" aca="1" ref="C173" ca="1">IF(COUNTIF(INDEX(ValidCross,0,1),B$1)&gt;ROW()-ROW(C$1),OFFSET(ValidCross,SMALL(IF(INDEX(ValidCross,0,1)=B$1,ROW(ValidCross)-CELL("Row",ValidCross)),ROW()-ROW(C$1)+1),1,1,1),"")</f>
        <v/>
      </c>
    </row>
    <row r="174" spans="3:3" x14ac:dyDescent="0.25">
      <c r="C174" t="str">
        <f t="array" aca="1" ref="C174" ca="1">IF(COUNTIF(INDEX(ValidCross,0,1),B$1)&gt;ROW()-ROW(C$1),OFFSET(ValidCross,SMALL(IF(INDEX(ValidCross,0,1)=B$1,ROW(ValidCross)-CELL("Row",ValidCross)),ROW()-ROW(C$1)+1),1,1,1),"")</f>
        <v/>
      </c>
    </row>
    <row r="175" spans="3:3" x14ac:dyDescent="0.25">
      <c r="C175" t="str">
        <f t="array" aca="1" ref="C175" ca="1">IF(COUNTIF(INDEX(ValidCross,0,1),B$1)&gt;ROW()-ROW(C$1),OFFSET(ValidCross,SMALL(IF(INDEX(ValidCross,0,1)=B$1,ROW(ValidCross)-CELL("Row",ValidCross)),ROW()-ROW(C$1)+1),1,1,1),"")</f>
        <v/>
      </c>
    </row>
    <row r="176" spans="3:3" x14ac:dyDescent="0.25">
      <c r="C176" t="str">
        <f t="array" aca="1" ref="C176" ca="1">IF(COUNTIF(INDEX(ValidCross,0,1),B$1)&gt;ROW()-ROW(C$1),OFFSET(ValidCross,SMALL(IF(INDEX(ValidCross,0,1)=B$1,ROW(ValidCross)-CELL("Row",ValidCross)),ROW()-ROW(C$1)+1),1,1,1),"")</f>
        <v/>
      </c>
    </row>
    <row r="177" spans="3:3" x14ac:dyDescent="0.25">
      <c r="C177" t="str">
        <f t="array" aca="1" ref="C177" ca="1">IF(COUNTIF(INDEX(ValidCross,0,1),B$1)&gt;ROW()-ROW(C$1),OFFSET(ValidCross,SMALL(IF(INDEX(ValidCross,0,1)=B$1,ROW(ValidCross)-CELL("Row",ValidCross)),ROW()-ROW(C$1)+1),1,1,1),"")</f>
        <v/>
      </c>
    </row>
    <row r="178" spans="3:3" x14ac:dyDescent="0.25">
      <c r="C178" t="str">
        <f t="array" aca="1" ref="C178" ca="1">IF(COUNTIF(INDEX(ValidCross,0,1),B$1)&gt;ROW()-ROW(C$1),OFFSET(ValidCross,SMALL(IF(INDEX(ValidCross,0,1)=B$1,ROW(ValidCross)-CELL("Row",ValidCross)),ROW()-ROW(C$1)+1),1,1,1),"")</f>
        <v/>
      </c>
    </row>
    <row r="179" spans="3:3" x14ac:dyDescent="0.25">
      <c r="C179" t="str">
        <f t="array" aca="1" ref="C179" ca="1">IF(COUNTIF(INDEX(ValidCross,0,1),B$1)&gt;ROW()-ROW(C$1),OFFSET(ValidCross,SMALL(IF(INDEX(ValidCross,0,1)=B$1,ROW(ValidCross)-CELL("Row",ValidCross)),ROW()-ROW(C$1)+1),1,1,1),"")</f>
        <v/>
      </c>
    </row>
    <row r="180" spans="3:3" x14ac:dyDescent="0.25">
      <c r="C180" t="str">
        <f t="array" aca="1" ref="C180" ca="1">IF(COUNTIF(INDEX(ValidCross,0,1),B$1)&gt;ROW()-ROW(C$1),OFFSET(ValidCross,SMALL(IF(INDEX(ValidCross,0,1)=B$1,ROW(ValidCross)-CELL("Row",ValidCross)),ROW()-ROW(C$1)+1),1,1,1),"")</f>
        <v/>
      </c>
    </row>
    <row r="181" spans="3:3" x14ac:dyDescent="0.25">
      <c r="C181" t="str">
        <f t="array" aca="1" ref="C181" ca="1">IF(COUNTIF(INDEX(ValidCross,0,1),B$1)&gt;ROW()-ROW(C$1),OFFSET(ValidCross,SMALL(IF(INDEX(ValidCross,0,1)=B$1,ROW(ValidCross)-CELL("Row",ValidCross)),ROW()-ROW(C$1)+1),1,1,1),"")</f>
        <v/>
      </c>
    </row>
    <row r="182" spans="3:3" x14ac:dyDescent="0.25">
      <c r="C182" t="str">
        <f t="array" aca="1" ref="C182" ca="1">IF(COUNTIF(INDEX(ValidCross,0,1),B$1)&gt;ROW()-ROW(C$1),OFFSET(ValidCross,SMALL(IF(INDEX(ValidCross,0,1)=B$1,ROW(ValidCross)-CELL("Row",ValidCross)),ROW()-ROW(C$1)+1),1,1,1),"")</f>
        <v/>
      </c>
    </row>
    <row r="183" spans="3:3" x14ac:dyDescent="0.25">
      <c r="C183" t="str">
        <f t="array" aca="1" ref="C183" ca="1">IF(COUNTIF(INDEX(ValidCross,0,1),B$1)&gt;ROW()-ROW(C$1),OFFSET(ValidCross,SMALL(IF(INDEX(ValidCross,0,1)=B$1,ROW(ValidCross)-CELL("Row",ValidCross)),ROW()-ROW(C$1)+1),1,1,1),"")</f>
        <v/>
      </c>
    </row>
    <row r="184" spans="3:3" x14ac:dyDescent="0.25">
      <c r="C184" t="str">
        <f t="array" aca="1" ref="C184" ca="1">IF(COUNTIF(INDEX(ValidCross,0,1),B$1)&gt;ROW()-ROW(C$1),OFFSET(ValidCross,SMALL(IF(INDEX(ValidCross,0,1)=B$1,ROW(ValidCross)-CELL("Row",ValidCross)),ROW()-ROW(C$1)+1),1,1,1),"")</f>
        <v/>
      </c>
    </row>
    <row r="185" spans="3:3" x14ac:dyDescent="0.25">
      <c r="C185" t="str">
        <f t="array" aca="1" ref="C185" ca="1">IF(COUNTIF(INDEX(ValidCross,0,1),B$1)&gt;ROW()-ROW(C$1),OFFSET(ValidCross,SMALL(IF(INDEX(ValidCross,0,1)=B$1,ROW(ValidCross)-CELL("Row",ValidCross)),ROW()-ROW(C$1)+1),1,1,1),"")</f>
        <v/>
      </c>
    </row>
    <row r="186" spans="3:3" x14ac:dyDescent="0.25">
      <c r="C186" t="str">
        <f t="array" aca="1" ref="C186" ca="1">IF(COUNTIF(INDEX(ValidCross,0,1),B$1)&gt;ROW()-ROW(C$1),OFFSET(ValidCross,SMALL(IF(INDEX(ValidCross,0,1)=B$1,ROW(ValidCross)-CELL("Row",ValidCross)),ROW()-ROW(C$1)+1),1,1,1),"")</f>
        <v/>
      </c>
    </row>
    <row r="187" spans="3:3" x14ac:dyDescent="0.25">
      <c r="C187" t="str">
        <f t="array" aca="1" ref="C187" ca="1">IF(COUNTIF(INDEX(ValidCross,0,1),B$1)&gt;ROW()-ROW(C$1),OFFSET(ValidCross,SMALL(IF(INDEX(ValidCross,0,1)=B$1,ROW(ValidCross)-CELL("Row",ValidCross)),ROW()-ROW(C$1)+1),1,1,1),"")</f>
        <v/>
      </c>
    </row>
    <row r="188" spans="3:3" x14ac:dyDescent="0.25">
      <c r="C188" t="str">
        <f t="array" aca="1" ref="C188" ca="1">IF(COUNTIF(INDEX(ValidCross,0,1),B$1)&gt;ROW()-ROW(C$1),OFFSET(ValidCross,SMALL(IF(INDEX(ValidCross,0,1)=B$1,ROW(ValidCross)-CELL("Row",ValidCross)),ROW()-ROW(C$1)+1),1,1,1),"")</f>
        <v/>
      </c>
    </row>
    <row r="189" spans="3:3" x14ac:dyDescent="0.25">
      <c r="C189" t="str">
        <f t="array" aca="1" ref="C189" ca="1">IF(COUNTIF(INDEX(ValidCross,0,1),B$1)&gt;ROW()-ROW(C$1),OFFSET(ValidCross,SMALL(IF(INDEX(ValidCross,0,1)=B$1,ROW(ValidCross)-CELL("Row",ValidCross)),ROW()-ROW(C$1)+1),1,1,1),"")</f>
        <v/>
      </c>
    </row>
    <row r="190" spans="3:3" x14ac:dyDescent="0.25">
      <c r="C190" t="str">
        <f t="array" aca="1" ref="C190" ca="1">IF(COUNTIF(INDEX(ValidCross,0,1),B$1)&gt;ROW()-ROW(C$1),OFFSET(ValidCross,SMALL(IF(INDEX(ValidCross,0,1)=B$1,ROW(ValidCross)-CELL("Row",ValidCross)),ROW()-ROW(C$1)+1),1,1,1),"")</f>
        <v/>
      </c>
    </row>
    <row r="191" spans="3:3" x14ac:dyDescent="0.25">
      <c r="C191" t="str">
        <f t="array" aca="1" ref="C191" ca="1">IF(COUNTIF(INDEX(ValidCross,0,1),B$1)&gt;ROW()-ROW(C$1),OFFSET(ValidCross,SMALL(IF(INDEX(ValidCross,0,1)=B$1,ROW(ValidCross)-CELL("Row",ValidCross)),ROW()-ROW(C$1)+1),1,1,1),"")</f>
        <v/>
      </c>
    </row>
    <row r="192" spans="3:3" x14ac:dyDescent="0.25">
      <c r="C192" t="str">
        <f t="array" aca="1" ref="C192" ca="1">IF(COUNTIF(INDEX(ValidCross,0,1),B$1)&gt;ROW()-ROW(C$1),OFFSET(ValidCross,SMALL(IF(INDEX(ValidCross,0,1)=B$1,ROW(ValidCross)-CELL("Row",ValidCross)),ROW()-ROW(C$1)+1),1,1,1),"")</f>
        <v/>
      </c>
    </row>
    <row r="193" spans="3:3" x14ac:dyDescent="0.25">
      <c r="C193" t="str">
        <f t="array" aca="1" ref="C193" ca="1">IF(COUNTIF(INDEX(ValidCross,0,1),B$1)&gt;ROW()-ROW(C$1),OFFSET(ValidCross,SMALL(IF(INDEX(ValidCross,0,1)=B$1,ROW(ValidCross)-CELL("Row",ValidCross)),ROW()-ROW(C$1)+1),1,1,1),"")</f>
        <v/>
      </c>
    </row>
    <row r="194" spans="3:3" x14ac:dyDescent="0.25">
      <c r="C194" t="str">
        <f t="array" aca="1" ref="C194" ca="1">IF(COUNTIF(INDEX(ValidCross,0,1),B$1)&gt;ROW()-ROW(C$1),OFFSET(ValidCross,SMALL(IF(INDEX(ValidCross,0,1)=B$1,ROW(ValidCross)-CELL("Row",ValidCross)),ROW()-ROW(C$1)+1),1,1,1),"")</f>
        <v/>
      </c>
    </row>
    <row r="195" spans="3:3" x14ac:dyDescent="0.25">
      <c r="C195" t="str">
        <f t="array" aca="1" ref="C195" ca="1">IF(COUNTIF(INDEX(ValidCross,0,1),B$1)&gt;ROW()-ROW(C$1),OFFSET(ValidCross,SMALL(IF(INDEX(ValidCross,0,1)=B$1,ROW(ValidCross)-CELL("Row",ValidCross)),ROW()-ROW(C$1)+1),1,1,1),"")</f>
        <v/>
      </c>
    </row>
    <row r="196" spans="3:3" x14ac:dyDescent="0.25">
      <c r="C196" t="str">
        <f t="array" aca="1" ref="C196" ca="1">IF(COUNTIF(INDEX(ValidCross,0,1),B$1)&gt;ROW()-ROW(C$1),OFFSET(ValidCross,SMALL(IF(INDEX(ValidCross,0,1)=B$1,ROW(ValidCross)-CELL("Row",ValidCross)),ROW()-ROW(C$1)+1),1,1,1),"")</f>
        <v/>
      </c>
    </row>
    <row r="197" spans="3:3" x14ac:dyDescent="0.25">
      <c r="C197" t="str">
        <f t="array" aca="1" ref="C197" ca="1">IF(COUNTIF(INDEX(ValidCross,0,1),B$1)&gt;ROW()-ROW(C$1),OFFSET(ValidCross,SMALL(IF(INDEX(ValidCross,0,1)=B$1,ROW(ValidCross)-CELL("Row",ValidCross)),ROW()-ROW(C$1)+1),1,1,1),"")</f>
        <v/>
      </c>
    </row>
    <row r="198" spans="3:3" x14ac:dyDescent="0.25">
      <c r="C198" t="str">
        <f t="array" aca="1" ref="C198" ca="1">IF(COUNTIF(INDEX(ValidCross,0,1),B$1)&gt;ROW()-ROW(C$1),OFFSET(ValidCross,SMALL(IF(INDEX(ValidCross,0,1)=B$1,ROW(ValidCross)-CELL("Row",ValidCross)),ROW()-ROW(C$1)+1),1,1,1),"")</f>
        <v/>
      </c>
    </row>
    <row r="199" spans="3:3" x14ac:dyDescent="0.25">
      <c r="C199" t="str">
        <f t="array" aca="1" ref="C199" ca="1">IF(COUNTIF(INDEX(ValidCross,0,1),B$1)&gt;ROW()-ROW(C$1),OFFSET(ValidCross,SMALL(IF(INDEX(ValidCross,0,1)=B$1,ROW(ValidCross)-CELL("Row",ValidCross)),ROW()-ROW(C$1)+1),1,1,1),"")</f>
        <v/>
      </c>
    </row>
    <row r="200" spans="3:3" x14ac:dyDescent="0.25">
      <c r="C200" t="str">
        <f t="array" aca="1" ref="C200" ca="1">IF(COUNTIF(INDEX(ValidCross,0,1),B$1)&gt;ROW()-ROW(C$1),OFFSET(ValidCross,SMALL(IF(INDEX(ValidCross,0,1)=B$1,ROW(ValidCross)-CELL("Row",ValidCross)),ROW()-ROW(C$1)+1),1,1,1),"")</f>
        <v/>
      </c>
    </row>
  </sheetData>
  <sheetProtection password="CB17" sheet="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1"/>
  <dimension ref="A1:I200"/>
  <sheetViews>
    <sheetView workbookViewId="0">
      <selection activeCell="D2" sqref="D2"/>
    </sheetView>
  </sheetViews>
  <sheetFormatPr defaultRowHeight="15" x14ac:dyDescent="0.25"/>
  <cols>
    <col min="1" max="1" width="37.140625" customWidth="1"/>
  </cols>
  <sheetData>
    <row r="1" spans="1:7" x14ac:dyDescent="0.25">
      <c r="B1" t="s">
        <v>405</v>
      </c>
      <c r="C1" t="s">
        <v>406</v>
      </c>
      <c r="D1" t="s">
        <v>407</v>
      </c>
      <c r="E1" t="s">
        <v>408</v>
      </c>
      <c r="F1" t="s">
        <v>493</v>
      </c>
      <c r="G1" t="s">
        <v>494</v>
      </c>
    </row>
    <row r="2" spans="1:7" x14ac:dyDescent="0.25">
      <c r="A2" s="319" t="s">
        <v>492</v>
      </c>
      <c r="B2" s="319">
        <v>64</v>
      </c>
      <c r="C2" s="319">
        <v>0</v>
      </c>
      <c r="D2" s="319">
        <v>0</v>
      </c>
      <c r="E2" s="319">
        <v>89</v>
      </c>
      <c r="F2" s="319">
        <v>34</v>
      </c>
      <c r="G2" s="319">
        <v>0</v>
      </c>
    </row>
    <row r="3" spans="1:7" x14ac:dyDescent="0.25">
      <c r="A3" s="319" t="s">
        <v>509</v>
      </c>
      <c r="B3" s="319">
        <v>47</v>
      </c>
      <c r="C3" s="319">
        <v>11</v>
      </c>
      <c r="D3" s="319">
        <v>12</v>
      </c>
      <c r="E3" s="319">
        <v>17</v>
      </c>
      <c r="F3" s="319">
        <v>58</v>
      </c>
      <c r="G3" s="319">
        <v>107</v>
      </c>
    </row>
    <row r="4" spans="1:7" x14ac:dyDescent="0.25">
      <c r="A4" s="319" t="s">
        <v>498</v>
      </c>
      <c r="B4" s="319">
        <v>50</v>
      </c>
      <c r="C4" s="319">
        <v>0</v>
      </c>
      <c r="D4" s="319">
        <v>0</v>
      </c>
      <c r="E4" s="319">
        <v>56</v>
      </c>
      <c r="F4" s="319">
        <v>44</v>
      </c>
      <c r="G4" s="319">
        <v>0</v>
      </c>
    </row>
    <row r="5" spans="1:7" x14ac:dyDescent="0.25">
      <c r="A5" s="319" t="s">
        <v>501</v>
      </c>
      <c r="B5" s="319">
        <v>115</v>
      </c>
      <c r="C5" s="319">
        <v>0</v>
      </c>
      <c r="D5" s="319">
        <v>0</v>
      </c>
      <c r="E5" s="319">
        <v>59</v>
      </c>
      <c r="F5" s="319">
        <v>201</v>
      </c>
      <c r="G5" s="319">
        <v>0</v>
      </c>
    </row>
    <row r="6" spans="1:7" x14ac:dyDescent="0.25">
      <c r="A6" s="319" t="s">
        <v>503</v>
      </c>
      <c r="B6" s="319">
        <v>54</v>
      </c>
      <c r="C6" s="319">
        <v>7</v>
      </c>
      <c r="D6" s="319">
        <v>0</v>
      </c>
      <c r="E6" s="319">
        <v>73</v>
      </c>
      <c r="F6" s="319">
        <v>61</v>
      </c>
      <c r="G6" s="319">
        <v>0</v>
      </c>
    </row>
    <row r="7" spans="1:7" x14ac:dyDescent="0.25">
      <c r="A7" s="319" t="s">
        <v>504</v>
      </c>
      <c r="B7" s="319">
        <v>59</v>
      </c>
      <c r="C7" s="319">
        <v>8</v>
      </c>
      <c r="D7" s="319">
        <v>0</v>
      </c>
      <c r="E7" s="319">
        <v>89</v>
      </c>
      <c r="F7" s="319">
        <v>63</v>
      </c>
      <c r="G7" s="319">
        <v>0</v>
      </c>
    </row>
    <row r="8" spans="1:7" x14ac:dyDescent="0.25">
      <c r="A8" s="319" t="s">
        <v>506</v>
      </c>
      <c r="B8" s="319">
        <v>100</v>
      </c>
      <c r="C8" s="319">
        <v>5</v>
      </c>
      <c r="D8" s="319">
        <v>20</v>
      </c>
      <c r="E8" s="319">
        <v>60</v>
      </c>
      <c r="F8" s="319">
        <v>30</v>
      </c>
      <c r="G8" s="319">
        <v>220</v>
      </c>
    </row>
    <row r="9" spans="1:7" x14ac:dyDescent="0.25">
      <c r="A9" s="319" t="s">
        <v>507</v>
      </c>
      <c r="B9" s="319">
        <v>150</v>
      </c>
      <c r="C9" s="319">
        <v>10</v>
      </c>
      <c r="D9" s="319">
        <v>15</v>
      </c>
      <c r="E9" s="319">
        <v>70</v>
      </c>
      <c r="F9" s="319">
        <v>140</v>
      </c>
      <c r="G9" s="319">
        <v>160</v>
      </c>
    </row>
    <row r="10" spans="1:7" x14ac:dyDescent="0.25">
      <c r="A10" s="319" t="s">
        <v>510</v>
      </c>
      <c r="B10" s="319">
        <v>51</v>
      </c>
      <c r="C10" s="319">
        <v>0</v>
      </c>
      <c r="D10" s="319">
        <v>6</v>
      </c>
      <c r="E10" s="319">
        <v>56</v>
      </c>
      <c r="F10" s="319">
        <v>47</v>
      </c>
      <c r="G10" s="319">
        <v>17</v>
      </c>
    </row>
    <row r="11" spans="1:7" x14ac:dyDescent="0.25">
      <c r="A11" s="319" t="s">
        <v>647</v>
      </c>
      <c r="B11" s="319">
        <v>56</v>
      </c>
      <c r="C11" s="319">
        <v>0</v>
      </c>
      <c r="D11" s="319">
        <v>0</v>
      </c>
      <c r="E11" s="319">
        <v>70</v>
      </c>
      <c r="F11" s="319">
        <v>40</v>
      </c>
      <c r="G11" s="319">
        <v>0</v>
      </c>
    </row>
    <row r="12" spans="1:7" x14ac:dyDescent="0.25">
      <c r="A12" s="319" t="s">
        <v>680</v>
      </c>
      <c r="B12" s="319">
        <v>53</v>
      </c>
      <c r="C12" s="319">
        <v>0</v>
      </c>
      <c r="D12" s="319">
        <v>0</v>
      </c>
      <c r="E12" s="319">
        <v>73</v>
      </c>
      <c r="F12" s="319">
        <v>28</v>
      </c>
      <c r="G12" s="319">
        <v>0</v>
      </c>
    </row>
    <row r="13" spans="1:7" x14ac:dyDescent="0.25">
      <c r="A13" s="319" t="s">
        <v>674</v>
      </c>
      <c r="B13" s="319">
        <v>84</v>
      </c>
      <c r="C13" s="319">
        <v>0</v>
      </c>
      <c r="D13" s="319">
        <v>0</v>
      </c>
      <c r="E13" s="319">
        <v>76</v>
      </c>
      <c r="F13" s="319">
        <v>98</v>
      </c>
      <c r="G13" s="319">
        <v>0</v>
      </c>
    </row>
    <row r="14" spans="1:7" x14ac:dyDescent="0.25">
      <c r="A14" s="319" t="s">
        <v>675</v>
      </c>
      <c r="B14" s="319">
        <v>76</v>
      </c>
      <c r="C14" s="319">
        <v>0</v>
      </c>
      <c r="D14" s="319">
        <v>0</v>
      </c>
      <c r="E14" s="319">
        <v>78</v>
      </c>
      <c r="F14" s="319">
        <v>42</v>
      </c>
      <c r="G14" s="319">
        <v>62</v>
      </c>
    </row>
    <row r="15" spans="1:7" x14ac:dyDescent="0.25">
      <c r="A15" s="319" t="s">
        <v>676</v>
      </c>
      <c r="B15" s="319">
        <v>103</v>
      </c>
      <c r="C15" s="319">
        <v>0</v>
      </c>
      <c r="D15" s="319">
        <v>5</v>
      </c>
      <c r="E15" s="319">
        <v>75</v>
      </c>
      <c r="F15" s="319">
        <v>99</v>
      </c>
      <c r="G15" s="319">
        <v>70</v>
      </c>
    </row>
    <row r="16" spans="1:7" x14ac:dyDescent="0.25">
      <c r="A16" s="319" t="s">
        <v>677</v>
      </c>
      <c r="B16" s="319">
        <v>80</v>
      </c>
      <c r="C16" s="319">
        <v>4</v>
      </c>
      <c r="D16" s="319">
        <v>14</v>
      </c>
      <c r="E16" s="319">
        <v>86</v>
      </c>
      <c r="F16" s="319">
        <v>27</v>
      </c>
      <c r="G16" s="319">
        <v>112</v>
      </c>
    </row>
    <row r="17" spans="1:7" x14ac:dyDescent="0.25">
      <c r="A17" s="319" t="s">
        <v>678</v>
      </c>
      <c r="B17" s="319">
        <v>71</v>
      </c>
      <c r="C17" s="319">
        <v>0</v>
      </c>
      <c r="D17" s="319">
        <v>0</v>
      </c>
      <c r="E17" s="319">
        <v>65</v>
      </c>
      <c r="F17" s="319">
        <v>34</v>
      </c>
      <c r="G17" s="319">
        <v>59</v>
      </c>
    </row>
    <row r="18" spans="1:7" x14ac:dyDescent="0.25">
      <c r="A18" s="319" t="s">
        <v>679</v>
      </c>
      <c r="B18" s="319">
        <v>96</v>
      </c>
      <c r="C18" s="319">
        <v>0</v>
      </c>
      <c r="D18" s="319">
        <v>0</v>
      </c>
      <c r="E18" s="319">
        <v>74</v>
      </c>
      <c r="F18" s="319">
        <v>51</v>
      </c>
      <c r="G18" s="319">
        <v>96</v>
      </c>
    </row>
    <row r="19" spans="1:7" x14ac:dyDescent="0.25">
      <c r="A19" s="319" t="s">
        <v>681</v>
      </c>
      <c r="B19" s="319">
        <v>101</v>
      </c>
      <c r="C19" s="319">
        <v>0</v>
      </c>
      <c r="D19" s="319">
        <v>0</v>
      </c>
      <c r="E19" s="319">
        <v>76</v>
      </c>
      <c r="F19" s="319">
        <v>140</v>
      </c>
      <c r="G19" s="319">
        <v>0</v>
      </c>
    </row>
    <row r="20" spans="1:7" x14ac:dyDescent="0.25">
      <c r="A20" s="319" t="s">
        <v>682</v>
      </c>
      <c r="B20" s="319">
        <v>140</v>
      </c>
      <c r="C20" s="319">
        <v>0</v>
      </c>
      <c r="D20" s="319">
        <v>0</v>
      </c>
      <c r="E20" s="319">
        <v>73</v>
      </c>
      <c r="F20" s="319">
        <v>150</v>
      </c>
      <c r="G20" s="319">
        <v>112</v>
      </c>
    </row>
    <row r="21" spans="1:7" x14ac:dyDescent="0.25">
      <c r="A21" s="319" t="s">
        <v>683</v>
      </c>
      <c r="B21" s="319">
        <v>120</v>
      </c>
      <c r="C21" s="319">
        <v>0</v>
      </c>
      <c r="D21" s="319">
        <v>0</v>
      </c>
      <c r="E21" s="319">
        <v>73</v>
      </c>
      <c r="F21" s="319">
        <v>101</v>
      </c>
      <c r="G21" s="319">
        <v>112</v>
      </c>
    </row>
    <row r="22" spans="1:7" x14ac:dyDescent="0.25">
      <c r="A22" s="319" t="s">
        <v>684</v>
      </c>
      <c r="B22" s="319">
        <v>65</v>
      </c>
      <c r="C22" s="319">
        <v>0</v>
      </c>
      <c r="D22" s="319">
        <v>0</v>
      </c>
      <c r="E22" s="319">
        <v>50</v>
      </c>
      <c r="F22" s="319">
        <v>27</v>
      </c>
      <c r="G22" s="319">
        <v>78</v>
      </c>
    </row>
    <row r="23" spans="1:7" x14ac:dyDescent="0.25">
      <c r="A23" s="319" t="s">
        <v>685</v>
      </c>
      <c r="B23" s="319">
        <v>138</v>
      </c>
      <c r="C23" s="319">
        <v>0</v>
      </c>
      <c r="D23" s="319">
        <v>0</v>
      </c>
      <c r="E23" s="319">
        <v>50</v>
      </c>
      <c r="F23" s="319">
        <v>202</v>
      </c>
      <c r="G23" s="319">
        <v>78</v>
      </c>
    </row>
    <row r="24" spans="1:7" x14ac:dyDescent="0.25">
      <c r="A24" s="319" t="s">
        <v>686</v>
      </c>
      <c r="B24" s="319">
        <v>147</v>
      </c>
      <c r="C24" s="319">
        <v>0</v>
      </c>
      <c r="D24" s="319">
        <v>15</v>
      </c>
      <c r="E24" s="319">
        <v>75</v>
      </c>
      <c r="F24" s="319">
        <v>195</v>
      </c>
      <c r="G24" s="319">
        <v>110</v>
      </c>
    </row>
    <row r="25" spans="1:7" x14ac:dyDescent="0.25">
      <c r="A25" s="319" t="s">
        <v>687</v>
      </c>
      <c r="B25" s="319">
        <v>87</v>
      </c>
      <c r="C25" s="319">
        <v>0</v>
      </c>
      <c r="D25" s="319">
        <v>14</v>
      </c>
      <c r="E25" s="319">
        <v>75</v>
      </c>
      <c r="F25" s="319">
        <v>75</v>
      </c>
      <c r="G25" s="319">
        <v>78</v>
      </c>
    </row>
    <row r="26" spans="1:7" x14ac:dyDescent="0.25">
      <c r="A26" s="319" t="s">
        <v>688</v>
      </c>
      <c r="B26" s="319">
        <v>73</v>
      </c>
      <c r="C26" s="319">
        <v>0</v>
      </c>
      <c r="D26" s="319">
        <v>0</v>
      </c>
      <c r="E26" s="319">
        <v>75</v>
      </c>
      <c r="F26" s="319">
        <v>74</v>
      </c>
      <c r="G26" s="319">
        <v>0</v>
      </c>
    </row>
    <row r="27" spans="1:7" x14ac:dyDescent="0.25">
      <c r="A27" s="319" t="s">
        <v>689</v>
      </c>
      <c r="B27" s="319">
        <v>115</v>
      </c>
      <c r="C27" s="319">
        <v>0</v>
      </c>
      <c r="D27" s="319">
        <v>14</v>
      </c>
      <c r="E27" s="319">
        <v>102</v>
      </c>
      <c r="F27" s="319">
        <v>78</v>
      </c>
      <c r="G27" s="319">
        <v>112</v>
      </c>
    </row>
    <row r="28" spans="1:7" x14ac:dyDescent="0.25">
      <c r="A28" s="319" t="s">
        <v>690</v>
      </c>
      <c r="B28" s="319">
        <v>104</v>
      </c>
      <c r="C28" s="319">
        <v>0</v>
      </c>
      <c r="D28" s="319">
        <v>14</v>
      </c>
      <c r="E28" s="319">
        <v>83</v>
      </c>
      <c r="F28" s="319">
        <v>76</v>
      </c>
      <c r="G28" s="319">
        <v>112</v>
      </c>
    </row>
    <row r="29" spans="1:7" x14ac:dyDescent="0.25">
      <c r="A29" s="319" t="s">
        <v>1264</v>
      </c>
      <c r="B29" s="319">
        <v>76</v>
      </c>
      <c r="C29" s="319">
        <v>0</v>
      </c>
      <c r="D29" s="319">
        <v>0</v>
      </c>
      <c r="E29" s="319">
        <v>134</v>
      </c>
      <c r="F29" s="319">
        <v>0</v>
      </c>
      <c r="G29" s="319">
        <v>0</v>
      </c>
    </row>
    <row r="30" spans="1:7" x14ac:dyDescent="0.25">
      <c r="A30" s="319"/>
      <c r="B30" s="319"/>
      <c r="C30" s="319"/>
      <c r="D30" s="319"/>
      <c r="E30" s="319"/>
      <c r="F30" s="319"/>
      <c r="G30" s="319"/>
    </row>
    <row r="31" spans="1:7" x14ac:dyDescent="0.25">
      <c r="A31" s="319"/>
      <c r="B31" s="319"/>
      <c r="C31" s="319"/>
      <c r="D31" s="319"/>
      <c r="E31" s="319"/>
      <c r="F31" s="319"/>
      <c r="G31" s="319"/>
    </row>
    <row r="32" spans="1:7" x14ac:dyDescent="0.25">
      <c r="A32" s="319"/>
      <c r="B32" s="319"/>
      <c r="C32" s="319"/>
      <c r="D32" s="319"/>
      <c r="E32" s="319"/>
      <c r="F32" s="319"/>
      <c r="G32" s="319"/>
    </row>
    <row r="33" spans="1:7" x14ac:dyDescent="0.25">
      <c r="A33" s="319"/>
      <c r="B33" s="319"/>
      <c r="C33" s="319"/>
      <c r="D33" s="319"/>
      <c r="E33" s="319"/>
      <c r="F33" s="319"/>
      <c r="G33" s="319"/>
    </row>
    <row r="34" spans="1:7" x14ac:dyDescent="0.25">
      <c r="A34" s="319"/>
      <c r="B34" s="319"/>
      <c r="C34" s="319"/>
      <c r="D34" s="319"/>
      <c r="E34" s="319"/>
      <c r="F34" s="319"/>
      <c r="G34" s="319"/>
    </row>
    <row r="35" spans="1:7" x14ac:dyDescent="0.25">
      <c r="A35" s="319"/>
      <c r="B35" s="319"/>
      <c r="C35" s="319"/>
      <c r="D35" s="319"/>
      <c r="E35" s="319"/>
      <c r="F35" s="319"/>
      <c r="G35" s="319"/>
    </row>
    <row r="36" spans="1:7" x14ac:dyDescent="0.25">
      <c r="A36" s="319"/>
      <c r="B36" s="319"/>
      <c r="C36" s="319"/>
      <c r="D36" s="319"/>
      <c r="E36" s="319"/>
      <c r="F36" s="319"/>
      <c r="G36" s="319"/>
    </row>
    <row r="37" spans="1:7" x14ac:dyDescent="0.25">
      <c r="A37" s="319"/>
      <c r="B37" s="319"/>
      <c r="C37" s="319"/>
      <c r="D37" s="319"/>
      <c r="E37" s="319"/>
      <c r="F37" s="319"/>
      <c r="G37" s="319"/>
    </row>
    <row r="38" spans="1:7" x14ac:dyDescent="0.25">
      <c r="A38" s="319"/>
      <c r="B38" s="319"/>
      <c r="C38" s="319"/>
      <c r="D38" s="319"/>
      <c r="E38" s="319"/>
      <c r="F38" s="319"/>
      <c r="G38" s="319"/>
    </row>
    <row r="39" spans="1:7" x14ac:dyDescent="0.25">
      <c r="A39" s="319"/>
      <c r="B39" s="319"/>
      <c r="C39" s="319"/>
      <c r="D39" s="319"/>
      <c r="E39" s="319"/>
      <c r="F39" s="319"/>
      <c r="G39" s="319"/>
    </row>
    <row r="40" spans="1:7" x14ac:dyDescent="0.25">
      <c r="A40" s="319"/>
      <c r="B40" s="319"/>
      <c r="C40" s="319"/>
      <c r="D40" s="319"/>
      <c r="E40" s="319"/>
      <c r="F40" s="319"/>
      <c r="G40" s="319"/>
    </row>
    <row r="41" spans="1:7" x14ac:dyDescent="0.25">
      <c r="A41" s="319"/>
      <c r="B41" s="319"/>
      <c r="C41" s="319"/>
      <c r="D41" s="319"/>
      <c r="E41" s="319"/>
      <c r="F41" s="319"/>
      <c r="G41" s="319"/>
    </row>
    <row r="42" spans="1:7" x14ac:dyDescent="0.25">
      <c r="A42" s="319"/>
      <c r="B42" s="319"/>
      <c r="C42" s="319"/>
      <c r="D42" s="319"/>
      <c r="E42" s="319"/>
      <c r="F42" s="319"/>
      <c r="G42" s="319"/>
    </row>
    <row r="43" spans="1:7" x14ac:dyDescent="0.25">
      <c r="A43" s="319"/>
      <c r="B43" s="319"/>
      <c r="C43" s="319"/>
      <c r="D43" s="319"/>
      <c r="E43" s="319"/>
      <c r="F43" s="319"/>
      <c r="G43" s="319"/>
    </row>
    <row r="44" spans="1:7" x14ac:dyDescent="0.25">
      <c r="A44" s="319"/>
      <c r="B44" s="319"/>
      <c r="C44" s="319"/>
      <c r="D44" s="319"/>
      <c r="E44" s="319"/>
      <c r="F44" s="319"/>
      <c r="G44" s="319"/>
    </row>
    <row r="45" spans="1:7" x14ac:dyDescent="0.25">
      <c r="A45" s="319"/>
      <c r="B45" s="319"/>
      <c r="C45" s="319"/>
      <c r="D45" s="319"/>
      <c r="E45" s="319"/>
      <c r="F45" s="319"/>
      <c r="G45" s="319"/>
    </row>
    <row r="46" spans="1:7" x14ac:dyDescent="0.25">
      <c r="A46" s="319"/>
      <c r="B46" s="319"/>
      <c r="C46" s="319"/>
      <c r="D46" s="319"/>
      <c r="E46" s="319"/>
      <c r="F46" s="319"/>
      <c r="G46" s="319"/>
    </row>
    <row r="47" spans="1:7" x14ac:dyDescent="0.25">
      <c r="A47" s="319"/>
      <c r="B47" s="319"/>
      <c r="C47" s="319"/>
      <c r="D47" s="319"/>
      <c r="E47" s="319"/>
      <c r="F47" s="319"/>
      <c r="G47" s="319"/>
    </row>
    <row r="48" spans="1:7" x14ac:dyDescent="0.25">
      <c r="A48" s="319"/>
      <c r="B48" s="319"/>
      <c r="C48" s="319"/>
      <c r="D48" s="319"/>
      <c r="E48" s="319"/>
      <c r="F48" s="319"/>
      <c r="G48" s="319"/>
    </row>
    <row r="49" spans="1:7" x14ac:dyDescent="0.25">
      <c r="A49" s="319"/>
      <c r="B49" s="319"/>
      <c r="C49" s="319"/>
      <c r="D49" s="319"/>
      <c r="E49" s="319"/>
      <c r="F49" s="319"/>
      <c r="G49" s="319"/>
    </row>
    <row r="50" spans="1:7" x14ac:dyDescent="0.25">
      <c r="A50" s="319"/>
      <c r="B50" s="319"/>
      <c r="C50" s="319"/>
      <c r="D50" s="319"/>
      <c r="E50" s="319"/>
      <c r="F50" s="319"/>
      <c r="G50" s="319"/>
    </row>
    <row r="51" spans="1:7" x14ac:dyDescent="0.25">
      <c r="A51" s="319"/>
      <c r="B51" s="319"/>
      <c r="C51" s="319"/>
      <c r="D51" s="319"/>
      <c r="E51" s="319"/>
      <c r="F51" s="319"/>
      <c r="G51" s="319"/>
    </row>
    <row r="52" spans="1:7" x14ac:dyDescent="0.25">
      <c r="A52" s="319"/>
      <c r="B52" s="319"/>
      <c r="C52" s="319"/>
      <c r="D52" s="319"/>
      <c r="E52" s="319"/>
      <c r="F52" s="319"/>
      <c r="G52" s="319"/>
    </row>
    <row r="53" spans="1:7" x14ac:dyDescent="0.25">
      <c r="A53" s="319"/>
      <c r="B53" s="319"/>
      <c r="C53" s="319"/>
      <c r="D53" s="319"/>
      <c r="E53" s="319"/>
      <c r="F53" s="319"/>
      <c r="G53" s="319"/>
    </row>
    <row r="54" spans="1:7" x14ac:dyDescent="0.25">
      <c r="A54" s="319"/>
      <c r="B54" s="319"/>
      <c r="C54" s="319"/>
      <c r="D54" s="319"/>
      <c r="E54" s="319"/>
      <c r="F54" s="319"/>
      <c r="G54" s="319"/>
    </row>
    <row r="55" spans="1:7" x14ac:dyDescent="0.25">
      <c r="A55" s="319"/>
      <c r="B55" s="319"/>
      <c r="C55" s="319"/>
      <c r="D55" s="319"/>
      <c r="E55" s="319"/>
      <c r="F55" s="319"/>
      <c r="G55" s="319"/>
    </row>
    <row r="56" spans="1:7" x14ac:dyDescent="0.25">
      <c r="A56" s="319"/>
      <c r="B56" s="319"/>
      <c r="C56" s="319"/>
      <c r="D56" s="319"/>
      <c r="E56" s="319"/>
      <c r="F56" s="319"/>
      <c r="G56" s="319"/>
    </row>
    <row r="57" spans="1:7" x14ac:dyDescent="0.25">
      <c r="A57" s="319"/>
      <c r="B57" s="319"/>
      <c r="C57" s="319"/>
      <c r="D57" s="319"/>
      <c r="E57" s="319"/>
      <c r="F57" s="319"/>
      <c r="G57" s="319"/>
    </row>
    <row r="58" spans="1:7" x14ac:dyDescent="0.25">
      <c r="A58" s="319"/>
      <c r="B58" s="319"/>
      <c r="C58" s="319"/>
      <c r="D58" s="319"/>
      <c r="E58" s="319"/>
      <c r="F58" s="319"/>
      <c r="G58" s="319"/>
    </row>
    <row r="59" spans="1:7" x14ac:dyDescent="0.25">
      <c r="A59" s="319"/>
      <c r="B59" s="319"/>
      <c r="C59" s="319"/>
      <c r="D59" s="319"/>
      <c r="E59" s="319"/>
      <c r="F59" s="319"/>
      <c r="G59" s="319"/>
    </row>
    <row r="60" spans="1:7" x14ac:dyDescent="0.25">
      <c r="A60" s="319"/>
      <c r="B60" s="319"/>
      <c r="C60" s="319"/>
      <c r="D60" s="319"/>
      <c r="E60" s="319"/>
      <c r="F60" s="319"/>
      <c r="G60" s="319"/>
    </row>
    <row r="61" spans="1:7" x14ac:dyDescent="0.25">
      <c r="A61" s="319"/>
      <c r="B61" s="319"/>
      <c r="C61" s="319"/>
      <c r="D61" s="319"/>
      <c r="E61" s="319"/>
      <c r="F61" s="319"/>
      <c r="G61" s="319"/>
    </row>
    <row r="62" spans="1:7" x14ac:dyDescent="0.25">
      <c r="A62" s="319"/>
      <c r="B62" s="319"/>
      <c r="C62" s="319"/>
      <c r="D62" s="319"/>
      <c r="E62" s="319"/>
      <c r="F62" s="319"/>
      <c r="G62" s="319"/>
    </row>
    <row r="63" spans="1:7" x14ac:dyDescent="0.25">
      <c r="A63" s="319"/>
      <c r="B63" s="319"/>
      <c r="C63" s="319"/>
      <c r="D63" s="319"/>
      <c r="E63" s="319"/>
      <c r="F63" s="319"/>
      <c r="G63" s="319"/>
    </row>
    <row r="64" spans="1:7" x14ac:dyDescent="0.25">
      <c r="A64" s="319"/>
      <c r="B64" s="319"/>
      <c r="C64" s="319"/>
      <c r="D64" s="319"/>
      <c r="E64" s="319"/>
      <c r="F64" s="319"/>
      <c r="G64" s="319"/>
    </row>
    <row r="65" spans="1:7" x14ac:dyDescent="0.25">
      <c r="A65" s="319"/>
      <c r="B65" s="319"/>
      <c r="C65" s="319"/>
      <c r="D65" s="319"/>
      <c r="E65" s="319"/>
      <c r="F65" s="319"/>
      <c r="G65" s="319"/>
    </row>
    <row r="66" spans="1:7" x14ac:dyDescent="0.25">
      <c r="A66" s="319"/>
      <c r="B66" s="319"/>
      <c r="C66" s="319"/>
      <c r="D66" s="319"/>
      <c r="E66" s="319"/>
      <c r="F66" s="319"/>
      <c r="G66" s="319"/>
    </row>
    <row r="67" spans="1:7" x14ac:dyDescent="0.25">
      <c r="A67" s="319"/>
      <c r="B67" s="319"/>
      <c r="C67" s="319"/>
      <c r="D67" s="319"/>
      <c r="E67" s="319"/>
      <c r="F67" s="319"/>
      <c r="G67" s="319"/>
    </row>
    <row r="68" spans="1:7" x14ac:dyDescent="0.25">
      <c r="A68" s="319"/>
      <c r="B68" s="319"/>
      <c r="C68" s="319"/>
      <c r="D68" s="319"/>
      <c r="E68" s="319"/>
      <c r="F68" s="319"/>
      <c r="G68" s="319"/>
    </row>
    <row r="69" spans="1:7" x14ac:dyDescent="0.25">
      <c r="A69" s="319"/>
      <c r="B69" s="319"/>
      <c r="C69" s="319"/>
      <c r="D69" s="319"/>
      <c r="E69" s="319"/>
      <c r="F69" s="319"/>
      <c r="G69" s="319"/>
    </row>
    <row r="70" spans="1:7" x14ac:dyDescent="0.25">
      <c r="A70" s="319"/>
      <c r="B70" s="319"/>
      <c r="C70" s="319"/>
      <c r="D70" s="319"/>
      <c r="E70" s="319"/>
      <c r="F70" s="319"/>
      <c r="G70" s="319"/>
    </row>
    <row r="71" spans="1:7" x14ac:dyDescent="0.25">
      <c r="A71" s="319"/>
      <c r="B71" s="319"/>
      <c r="C71" s="319"/>
      <c r="D71" s="319"/>
      <c r="E71" s="319"/>
      <c r="F71" s="319"/>
      <c r="G71" s="319"/>
    </row>
    <row r="72" spans="1:7" x14ac:dyDescent="0.25">
      <c r="A72" s="319"/>
      <c r="B72" s="319"/>
      <c r="C72" s="319"/>
      <c r="D72" s="319"/>
      <c r="E72" s="319"/>
      <c r="F72" s="319"/>
      <c r="G72" s="319"/>
    </row>
    <row r="73" spans="1:7" x14ac:dyDescent="0.25">
      <c r="A73" s="319"/>
      <c r="B73" s="319"/>
      <c r="C73" s="319"/>
      <c r="D73" s="319"/>
      <c r="E73" s="319"/>
      <c r="F73" s="319"/>
      <c r="G73" s="319"/>
    </row>
    <row r="74" spans="1:7" x14ac:dyDescent="0.25">
      <c r="A74" s="319"/>
      <c r="B74" s="319"/>
      <c r="C74" s="319"/>
      <c r="D74" s="319"/>
      <c r="E74" s="319"/>
      <c r="F74" s="319"/>
      <c r="G74" s="319"/>
    </row>
    <row r="75" spans="1:7" x14ac:dyDescent="0.25">
      <c r="A75" s="319"/>
      <c r="B75" s="319"/>
      <c r="C75" s="319"/>
      <c r="D75" s="319"/>
      <c r="E75" s="319"/>
      <c r="F75" s="319"/>
      <c r="G75" s="319"/>
    </row>
    <row r="76" spans="1:7" x14ac:dyDescent="0.25">
      <c r="A76" s="319"/>
      <c r="B76" s="319"/>
      <c r="C76" s="319"/>
      <c r="D76" s="319"/>
      <c r="E76" s="319"/>
      <c r="F76" s="319"/>
      <c r="G76" s="319"/>
    </row>
    <row r="77" spans="1:7" x14ac:dyDescent="0.25">
      <c r="A77" s="319"/>
      <c r="B77" s="319"/>
      <c r="C77" s="319"/>
      <c r="D77" s="319"/>
      <c r="E77" s="319"/>
      <c r="F77" s="319"/>
      <c r="G77" s="319"/>
    </row>
    <row r="78" spans="1:7" x14ac:dyDescent="0.25">
      <c r="A78" s="319"/>
      <c r="B78" s="319"/>
      <c r="C78" s="319"/>
      <c r="D78" s="319"/>
      <c r="E78" s="319"/>
      <c r="F78" s="319"/>
      <c r="G78" s="319"/>
    </row>
    <row r="79" spans="1:7" x14ac:dyDescent="0.25">
      <c r="A79" s="319"/>
      <c r="B79" s="319"/>
      <c r="C79" s="319"/>
      <c r="D79" s="319"/>
      <c r="E79" s="319"/>
      <c r="F79" s="319"/>
      <c r="G79" s="319"/>
    </row>
    <row r="80" spans="1:7" x14ac:dyDescent="0.25">
      <c r="A80" s="319"/>
      <c r="B80" s="319"/>
      <c r="C80" s="319"/>
      <c r="D80" s="319"/>
      <c r="E80" s="319"/>
      <c r="F80" s="319"/>
      <c r="G80" s="319"/>
    </row>
    <row r="81" spans="1:7" x14ac:dyDescent="0.25">
      <c r="A81" s="319"/>
      <c r="B81" s="319"/>
      <c r="C81" s="319"/>
      <c r="D81" s="319"/>
      <c r="E81" s="319"/>
      <c r="F81" s="319"/>
      <c r="G81" s="319"/>
    </row>
    <row r="82" spans="1:7" x14ac:dyDescent="0.25">
      <c r="A82" s="319"/>
      <c r="B82" s="319"/>
      <c r="C82" s="319"/>
      <c r="D82" s="319"/>
      <c r="E82" s="319"/>
      <c r="F82" s="319"/>
      <c r="G82" s="319"/>
    </row>
    <row r="83" spans="1:7" x14ac:dyDescent="0.25">
      <c r="A83" s="319"/>
      <c r="B83" s="319"/>
      <c r="C83" s="319"/>
      <c r="D83" s="319"/>
      <c r="E83" s="319"/>
      <c r="F83" s="319"/>
      <c r="G83" s="319"/>
    </row>
    <row r="84" spans="1:7" x14ac:dyDescent="0.25">
      <c r="A84" s="319"/>
      <c r="B84" s="319"/>
      <c r="C84" s="319"/>
      <c r="D84" s="319"/>
      <c r="E84" s="319"/>
      <c r="F84" s="319"/>
      <c r="G84" s="319"/>
    </row>
    <row r="85" spans="1:7" x14ac:dyDescent="0.25">
      <c r="A85" s="319"/>
      <c r="B85" s="319"/>
      <c r="C85" s="319"/>
      <c r="D85" s="319"/>
      <c r="E85" s="319"/>
      <c r="F85" s="319"/>
      <c r="G85" s="319"/>
    </row>
    <row r="86" spans="1:7" x14ac:dyDescent="0.25">
      <c r="A86" s="319"/>
      <c r="B86" s="319"/>
      <c r="C86" s="319"/>
      <c r="D86" s="319"/>
      <c r="E86" s="319"/>
      <c r="F86" s="319"/>
      <c r="G86" s="319"/>
    </row>
    <row r="87" spans="1:7" x14ac:dyDescent="0.25">
      <c r="A87" s="319"/>
      <c r="B87" s="319"/>
      <c r="C87" s="319"/>
      <c r="D87" s="319"/>
      <c r="E87" s="319"/>
      <c r="F87" s="319"/>
      <c r="G87" s="319"/>
    </row>
    <row r="88" spans="1:7" x14ac:dyDescent="0.25">
      <c r="A88" s="319"/>
      <c r="B88" s="319"/>
      <c r="C88" s="319"/>
      <c r="D88" s="319"/>
      <c r="E88" s="319"/>
      <c r="F88" s="319"/>
      <c r="G88" s="319"/>
    </row>
    <row r="89" spans="1:7" x14ac:dyDescent="0.25">
      <c r="A89" s="319"/>
      <c r="B89" s="319"/>
      <c r="C89" s="319"/>
      <c r="D89" s="319"/>
      <c r="E89" s="319"/>
      <c r="F89" s="319"/>
      <c r="G89" s="319"/>
    </row>
    <row r="90" spans="1:7" x14ac:dyDescent="0.25">
      <c r="A90" s="319"/>
      <c r="B90" s="319"/>
      <c r="C90" s="319"/>
      <c r="D90" s="319"/>
      <c r="E90" s="319"/>
      <c r="F90" s="319"/>
      <c r="G90" s="319"/>
    </row>
    <row r="91" spans="1:7" x14ac:dyDescent="0.25">
      <c r="A91" s="319"/>
      <c r="B91" s="319"/>
      <c r="C91" s="319"/>
      <c r="D91" s="319"/>
      <c r="E91" s="319"/>
      <c r="F91" s="319"/>
      <c r="G91" s="319"/>
    </row>
    <row r="92" spans="1:7" x14ac:dyDescent="0.25">
      <c r="A92" s="319"/>
      <c r="B92" s="319"/>
      <c r="C92" s="319"/>
      <c r="D92" s="319"/>
      <c r="E92" s="319"/>
      <c r="F92" s="319"/>
      <c r="G92" s="319"/>
    </row>
    <row r="93" spans="1:7" x14ac:dyDescent="0.25">
      <c r="A93" s="319"/>
      <c r="B93" s="319"/>
      <c r="C93" s="319"/>
      <c r="D93" s="319"/>
      <c r="E93" s="319"/>
      <c r="F93" s="319"/>
      <c r="G93" s="319"/>
    </row>
    <row r="94" spans="1:7" x14ac:dyDescent="0.25">
      <c r="A94" s="319"/>
      <c r="B94" s="319"/>
      <c r="C94" s="319"/>
      <c r="D94" s="319"/>
      <c r="E94" s="319"/>
      <c r="F94" s="319"/>
      <c r="G94" s="319"/>
    </row>
    <row r="95" spans="1:7" x14ac:dyDescent="0.25">
      <c r="A95" s="319"/>
      <c r="B95" s="319"/>
      <c r="C95" s="319"/>
      <c r="D95" s="319"/>
      <c r="E95" s="319"/>
      <c r="F95" s="319"/>
      <c r="G95" s="319"/>
    </row>
    <row r="96" spans="1:7" x14ac:dyDescent="0.25">
      <c r="A96" s="319"/>
      <c r="B96" s="319"/>
      <c r="C96" s="319"/>
      <c r="D96" s="319"/>
      <c r="E96" s="319"/>
      <c r="F96" s="319"/>
      <c r="G96" s="319"/>
    </row>
    <row r="97" spans="1:9" x14ac:dyDescent="0.25">
      <c r="A97" s="319"/>
      <c r="B97" s="319"/>
      <c r="C97" s="319"/>
      <c r="D97" s="319"/>
      <c r="E97" s="319"/>
      <c r="F97" s="319"/>
      <c r="G97" s="319"/>
    </row>
    <row r="98" spans="1:9" x14ac:dyDescent="0.25">
      <c r="A98" s="319"/>
      <c r="B98" s="319"/>
      <c r="C98" s="319"/>
      <c r="D98" s="319"/>
      <c r="E98" s="319"/>
      <c r="F98" s="319"/>
      <c r="G98" s="319"/>
    </row>
    <row r="99" spans="1:9" x14ac:dyDescent="0.25">
      <c r="A99" s="319"/>
      <c r="B99" s="319"/>
      <c r="C99" s="319"/>
      <c r="D99" s="319"/>
      <c r="E99" s="319"/>
      <c r="F99" s="319"/>
      <c r="G99" s="319"/>
    </row>
    <row r="100" spans="1:9" ht="15.75" thickBot="1" x14ac:dyDescent="0.3">
      <c r="A100" s="320"/>
      <c r="B100" s="320"/>
      <c r="C100" s="320"/>
      <c r="D100" s="320"/>
      <c r="E100" s="320"/>
      <c r="F100" s="320"/>
      <c r="G100" s="320"/>
    </row>
    <row r="101" spans="1:9" ht="15.75" thickTop="1" x14ac:dyDescent="0.25">
      <c r="A101" t="str">
        <f>UserH20Profiles!A2</f>
        <v>Altbier, Steam, ESB, Ir. Red, Am. Amber, Eng. IPA, Roggenbier, Bel. Pale</v>
      </c>
      <c r="B101" t="str">
        <f>UserH20Profiles!B2</f>
        <v>50-150</v>
      </c>
      <c r="C101">
        <f>UserH20Profiles!C2</f>
        <v>0</v>
      </c>
      <c r="D101">
        <f>UserH20Profiles!D2</f>
        <v>0</v>
      </c>
      <c r="E101" t="str">
        <f>UserH20Profiles!E2</f>
        <v>50-100</v>
      </c>
      <c r="F101" t="str">
        <f>UserH20Profiles!F2</f>
        <v>100-300</v>
      </c>
      <c r="G101">
        <f>UserH20Profiles!G2</f>
        <v>0</v>
      </c>
      <c r="I101" t="s">
        <v>933</v>
      </c>
    </row>
    <row r="102" spans="1:9" x14ac:dyDescent="0.25">
      <c r="A102" t="str">
        <f>UserH20Profiles!A3</f>
        <v>Am. Brown, English Brown, Brown Porter, Misc. Stouts, Dunkelweizen</v>
      </c>
      <c r="B102" t="str">
        <f>UserH20Profiles!B3</f>
        <v>50-75</v>
      </c>
      <c r="C102">
        <f>UserH20Profiles!C3</f>
        <v>0</v>
      </c>
      <c r="D102">
        <f>UserH20Profiles!D3</f>
        <v>0</v>
      </c>
      <c r="E102" t="str">
        <f>UserH20Profiles!E3</f>
        <v>50-150</v>
      </c>
      <c r="F102" t="str">
        <f>UserH20Profiles!F3</f>
        <v>50-150</v>
      </c>
      <c r="G102">
        <f>UserH20Profiles!G3</f>
        <v>0</v>
      </c>
    </row>
    <row r="103" spans="1:9" x14ac:dyDescent="0.25">
      <c r="A103" t="str">
        <f>UserH20Profiles!A4</f>
        <v>Am. Premium, German Pils, CAP, Dortmunder Export</v>
      </c>
      <c r="B103" t="str">
        <f>UserH20Profiles!B4</f>
        <v>50-75</v>
      </c>
      <c r="C103">
        <f>UserH20Profiles!C4</f>
        <v>0</v>
      </c>
      <c r="D103">
        <f>UserH20Profiles!D4</f>
        <v>0</v>
      </c>
      <c r="E103" t="str">
        <f>UserH20Profiles!E4</f>
        <v>50-100</v>
      </c>
      <c r="F103" t="str">
        <f>UserH20Profiles!F4</f>
        <v>50-150</v>
      </c>
      <c r="G103">
        <f>UserH20Profiles!G4</f>
        <v>0</v>
      </c>
    </row>
    <row r="104" spans="1:9" x14ac:dyDescent="0.25">
      <c r="A104" t="str">
        <f>UserH20Profiles!A5</f>
        <v>American Dark, Munich Dunkel, Schwarzbier</v>
      </c>
      <c r="B104" t="str">
        <f>UserH20Profiles!B5</f>
        <v>50-75</v>
      </c>
      <c r="C104">
        <f>UserH20Profiles!C5</f>
        <v>0</v>
      </c>
      <c r="D104">
        <f>UserH20Profiles!D5</f>
        <v>0</v>
      </c>
      <c r="E104" t="str">
        <f>UserH20Profiles!E5</f>
        <v>50-150</v>
      </c>
      <c r="F104" t="str">
        <f>UserH20Profiles!F5</f>
        <v>0-50</v>
      </c>
      <c r="G104">
        <f>UserH20Profiles!G5</f>
        <v>0</v>
      </c>
    </row>
    <row r="105" spans="1:9" x14ac:dyDescent="0.25">
      <c r="A105" t="str">
        <f>UserH20Profiles!A6</f>
        <v>APA, AXPA, Saison, AIPA, IIPA</v>
      </c>
      <c r="B105" t="str">
        <f>UserH20Profiles!B6</f>
        <v>50-150</v>
      </c>
      <c r="C105">
        <f>UserH20Profiles!C6</f>
        <v>0</v>
      </c>
      <c r="D105">
        <f>UserH20Profiles!D6</f>
        <v>0</v>
      </c>
      <c r="E105" t="str">
        <f>UserH20Profiles!E6</f>
        <v>0-100</v>
      </c>
      <c r="F105" t="str">
        <f>UserH20Profiles!F6</f>
        <v>100-400</v>
      </c>
      <c r="G105">
        <f>UserH20Profiles!G6</f>
        <v>0</v>
      </c>
    </row>
    <row r="106" spans="1:9" x14ac:dyDescent="0.25">
      <c r="A106" t="str">
        <f>UserH20Profiles!A7</f>
        <v>Baltic Porter, FES, Am. Stout, RIS, Weizenbock, BSDA, Old Ale</v>
      </c>
      <c r="B106" t="str">
        <f>UserH20Profiles!B7</f>
        <v>50-75</v>
      </c>
      <c r="C106">
        <f>UserH20Profiles!C7</f>
        <v>0</v>
      </c>
      <c r="D106">
        <f>UserH20Profiles!D7</f>
        <v>0</v>
      </c>
      <c r="E106" t="str">
        <f>UserH20Profiles!E7</f>
        <v>50-150</v>
      </c>
      <c r="F106" t="str">
        <f>UserH20Profiles!F7</f>
        <v>50-150</v>
      </c>
      <c r="G106">
        <f>UserH20Profiles!G7</f>
        <v>0</v>
      </c>
    </row>
    <row r="107" spans="1:9" x14ac:dyDescent="0.25">
      <c r="A107" t="str">
        <f>UserH20Profiles!A8</f>
        <v>Belgian Blonde, Golden Strong, Tripel</v>
      </c>
      <c r="B107" t="str">
        <f>UserH20Profiles!B8</f>
        <v>50-100</v>
      </c>
      <c r="C107">
        <f>UserH20Profiles!C8</f>
        <v>0</v>
      </c>
      <c r="D107">
        <f>UserH20Profiles!D8</f>
        <v>0</v>
      </c>
      <c r="E107" t="str">
        <f>UserH20Profiles!E8</f>
        <v>50-100</v>
      </c>
      <c r="F107" t="str">
        <f>UserH20Profiles!F8</f>
        <v>50-100</v>
      </c>
      <c r="G107">
        <f>UserH20Profiles!G8</f>
        <v>0</v>
      </c>
    </row>
    <row r="108" spans="1:9" x14ac:dyDescent="0.25">
      <c r="A108" t="str">
        <f>UserH20Profiles!A9</f>
        <v>Blonde, Am. Wheat, Bitter, Best Bitter</v>
      </c>
      <c r="B108" t="str">
        <f>UserH20Profiles!B9</f>
        <v>50-100</v>
      </c>
      <c r="C108">
        <f>UserH20Profiles!C9</f>
        <v>0</v>
      </c>
      <c r="D108">
        <f>UserH20Profiles!D9</f>
        <v>0</v>
      </c>
      <c r="E108" t="str">
        <f>UserH20Profiles!E9</f>
        <v>50-100</v>
      </c>
      <c r="F108" t="str">
        <f>UserH20Profiles!F9</f>
        <v>100-200</v>
      </c>
      <c r="G108">
        <f>UserH20Profiles!G9</f>
        <v>0</v>
      </c>
    </row>
    <row r="109" spans="1:9" x14ac:dyDescent="0.25">
      <c r="A109" t="str">
        <f>UserH20Profiles!A10</f>
        <v>Bock, Doppelbock, Eisbock, Baltic Porter</v>
      </c>
      <c r="B109" t="str">
        <f>UserH20Profiles!B10</f>
        <v>50-100</v>
      </c>
      <c r="C109">
        <f>UserH20Profiles!C10</f>
        <v>0</v>
      </c>
      <c r="D109">
        <f>UserH20Profiles!D10</f>
        <v>0</v>
      </c>
      <c r="E109" t="str">
        <f>UserH20Profiles!E10</f>
        <v>50-100</v>
      </c>
      <c r="F109" t="str">
        <f>UserH20Profiles!F10</f>
        <v>0-100</v>
      </c>
      <c r="G109">
        <f>UserH20Profiles!G10</f>
        <v>0</v>
      </c>
    </row>
    <row r="110" spans="1:9" x14ac:dyDescent="0.25">
      <c r="A110" t="str">
        <f>UserH20Profiles!A11</f>
        <v>Boiled Dublin Water Profile (Zymurgy Nov/Dec 2013)</v>
      </c>
      <c r="B110">
        <f>UserH20Profiles!B11</f>
        <v>37</v>
      </c>
      <c r="C110">
        <f>UserH20Profiles!C11</f>
        <v>4</v>
      </c>
      <c r="D110">
        <f>UserH20Profiles!D11</f>
        <v>12</v>
      </c>
      <c r="E110">
        <f>UserH20Profiles!E11</f>
        <v>19</v>
      </c>
      <c r="F110">
        <f>UserH20Profiles!F11</f>
        <v>55</v>
      </c>
      <c r="G110">
        <f>UserH20Profiles!G11</f>
        <v>60</v>
      </c>
    </row>
    <row r="111" spans="1:9" x14ac:dyDescent="0.25">
      <c r="A111" t="str">
        <f>UserH20Profiles!A12</f>
        <v>Burton Pale Ale Profile (Zymurgy Jan/Feb 2014)</v>
      </c>
      <c r="B111">
        <f>UserH20Profiles!B12</f>
        <v>140</v>
      </c>
      <c r="C111">
        <f>UserH20Profiles!C12</f>
        <v>18</v>
      </c>
      <c r="D111">
        <f>UserH20Profiles!D12</f>
        <v>25</v>
      </c>
      <c r="E111">
        <f>UserH20Profiles!E12</f>
        <v>55</v>
      </c>
      <c r="F111">
        <f>UserH20Profiles!F12</f>
        <v>300</v>
      </c>
      <c r="G111">
        <f>UserH20Profiles!G12</f>
        <v>110</v>
      </c>
    </row>
    <row r="112" spans="1:9" x14ac:dyDescent="0.25">
      <c r="A112" t="str">
        <f>UserH20Profiles!A13</f>
        <v>Burton-on-Trent</v>
      </c>
      <c r="B112">
        <f>UserH20Profiles!B13</f>
        <v>295</v>
      </c>
      <c r="C112">
        <f>UserH20Profiles!C13</f>
        <v>45</v>
      </c>
      <c r="D112">
        <f>UserH20Profiles!D13</f>
        <v>55</v>
      </c>
      <c r="E112">
        <f>UserH20Profiles!E13</f>
        <v>25</v>
      </c>
      <c r="F112">
        <f>UserH20Profiles!F13</f>
        <v>725</v>
      </c>
      <c r="G112">
        <f>UserH20Profiles!G13</f>
        <v>300</v>
      </c>
    </row>
    <row r="113" spans="1:7" x14ac:dyDescent="0.25">
      <c r="A113" t="str">
        <f>UserH20Profiles!A14</f>
        <v>Dark German Lagers, Bocks (Moderately Alkaline Water)</v>
      </c>
      <c r="B113">
        <f>UserH20Profiles!B14</f>
        <v>80</v>
      </c>
      <c r="C113">
        <f>UserH20Profiles!C14</f>
        <v>10</v>
      </c>
      <c r="D113">
        <f>UserH20Profiles!D14</f>
        <v>26</v>
      </c>
      <c r="E113">
        <f>UserH20Profiles!E14</f>
        <v>33</v>
      </c>
      <c r="F113">
        <f>UserH20Profiles!F14</f>
        <v>16</v>
      </c>
      <c r="G113">
        <f>UserH20Profiles!G14</f>
        <v>165</v>
      </c>
    </row>
    <row r="114" spans="1:7" x14ac:dyDescent="0.25">
      <c r="A114" t="str">
        <f>UserH20Profiles!A15</f>
        <v>Edinbugh</v>
      </c>
      <c r="B114">
        <f>UserH20Profiles!B15</f>
        <v>100</v>
      </c>
      <c r="C114">
        <f>UserH20Profiles!C15</f>
        <v>18</v>
      </c>
      <c r="D114">
        <f>UserH20Profiles!D15</f>
        <v>20</v>
      </c>
      <c r="E114">
        <f>UserH20Profiles!E15</f>
        <v>45</v>
      </c>
      <c r="F114">
        <f>UserH20Profiles!F15</f>
        <v>105</v>
      </c>
      <c r="G114">
        <f>UserH20Profiles!G15</f>
        <v>270</v>
      </c>
    </row>
    <row r="115" spans="1:7" x14ac:dyDescent="0.25">
      <c r="A115" t="str">
        <f>UserH20Profiles!A16</f>
        <v>English Brown, Brown Porter, Dry Stout</v>
      </c>
      <c r="B115" t="str">
        <f>UserH20Profiles!B16</f>
        <v>50-75</v>
      </c>
      <c r="C115">
        <f>UserH20Profiles!C16</f>
        <v>0</v>
      </c>
      <c r="D115">
        <f>UserH20Profiles!D16</f>
        <v>0</v>
      </c>
      <c r="E115" t="str">
        <f>UserH20Profiles!E16</f>
        <v>50-100</v>
      </c>
      <c r="F115" t="str">
        <f>UserH20Profiles!F16</f>
        <v>50-150</v>
      </c>
      <c r="G115">
        <f>UserH20Profiles!G16</f>
        <v>0</v>
      </c>
    </row>
    <row r="116" spans="1:7" x14ac:dyDescent="0.25">
      <c r="A116" t="str">
        <f>UserH20Profiles!A17</f>
        <v>Ft Collins source</v>
      </c>
      <c r="B116">
        <f>UserH20Profiles!B17</f>
        <v>16.600000000000001</v>
      </c>
      <c r="C116">
        <f>UserH20Profiles!C17</f>
        <v>1.6</v>
      </c>
      <c r="D116">
        <f>UserH20Profiles!D17</f>
        <v>3.2</v>
      </c>
      <c r="E116">
        <f>UserH20Profiles!E17</f>
        <v>2.5</v>
      </c>
      <c r="F116">
        <f>UserH20Profiles!F17</f>
        <v>12</v>
      </c>
      <c r="G116">
        <f>UserH20Profiles!G17</f>
        <v>43</v>
      </c>
    </row>
    <row r="117" spans="1:7" x14ac:dyDescent="0.25">
      <c r="A117" t="str">
        <f>UserH20Profiles!A18</f>
        <v>German or American Pils (Pilsner Water)</v>
      </c>
      <c r="B117">
        <f>UserH20Profiles!B18</f>
        <v>59</v>
      </c>
      <c r="C117">
        <f>UserH20Profiles!C18</f>
        <v>8</v>
      </c>
      <c r="D117">
        <f>UserH20Profiles!D18</f>
        <v>0</v>
      </c>
      <c r="E117">
        <f>UserH20Profiles!E18</f>
        <v>63</v>
      </c>
      <c r="F117">
        <f>UserH20Profiles!F18</f>
        <v>89</v>
      </c>
      <c r="G117">
        <f>UserH20Profiles!G18</f>
        <v>0</v>
      </c>
    </row>
    <row r="118" spans="1:7" x14ac:dyDescent="0.25">
      <c r="A118" t="str">
        <f>UserH20Profiles!A19</f>
        <v>Helles/Maibock, Bock, Doppelbock</v>
      </c>
      <c r="B118" t="str">
        <f>UserH20Profiles!B19</f>
        <v>50-75</v>
      </c>
      <c r="C118">
        <f>UserH20Profiles!C19</f>
        <v>0</v>
      </c>
      <c r="D118">
        <f>UserH20Profiles!D19</f>
        <v>0</v>
      </c>
      <c r="E118" t="str">
        <f>UserH20Profiles!E19</f>
        <v>50-150</v>
      </c>
      <c r="F118" t="str">
        <f>UserH20Profiles!F19</f>
        <v>0-100</v>
      </c>
      <c r="G118">
        <f>UserH20Profiles!G19</f>
        <v>0</v>
      </c>
    </row>
    <row r="119" spans="1:7" x14ac:dyDescent="0.25">
      <c r="A119" t="str">
        <f>UserH20Profiles!A20</f>
        <v>Juicy Bits</v>
      </c>
      <c r="B119" t="str">
        <f>UserH20Profiles!B20</f>
        <v>125-150</v>
      </c>
      <c r="C119">
        <f>UserH20Profiles!C20</f>
        <v>0</v>
      </c>
      <c r="D119">
        <f>UserH20Profiles!D20</f>
        <v>0</v>
      </c>
      <c r="E119" t="str">
        <f>UserH20Profiles!E20</f>
        <v>175-200</v>
      </c>
      <c r="F119" t="str">
        <f>UserH20Profiles!F20</f>
        <v>75-100</v>
      </c>
      <c r="G119">
        <f>UserH20Profiles!G20</f>
        <v>0</v>
      </c>
    </row>
    <row r="120" spans="1:7" x14ac:dyDescent="0.25">
      <c r="A120" t="str">
        <f>UserH20Profiles!A21</f>
        <v>Lite/Standard Am. Lager, Munich Helles, Bohemian Pils</v>
      </c>
      <c r="B120">
        <f>UserH20Profiles!B21</f>
        <v>50</v>
      </c>
      <c r="C120">
        <f>UserH20Profiles!C21</f>
        <v>0</v>
      </c>
      <c r="D120">
        <f>UserH20Profiles!D21</f>
        <v>0</v>
      </c>
      <c r="E120" t="str">
        <f>UserH20Profiles!E21</f>
        <v>50-100</v>
      </c>
      <c r="F120" t="str">
        <f>UserH20Profiles!F21</f>
        <v>0-50</v>
      </c>
      <c r="G120">
        <f>UserH20Profiles!G21</f>
        <v>0</v>
      </c>
    </row>
    <row r="121" spans="1:7" x14ac:dyDescent="0.25">
      <c r="A121" t="str">
        <f>UserH20Profiles!A22</f>
        <v>Maxline ESB</v>
      </c>
      <c r="B121">
        <f>UserH20Profiles!B22</f>
        <v>270</v>
      </c>
      <c r="C121">
        <f>UserH20Profiles!C22</f>
        <v>41</v>
      </c>
      <c r="D121">
        <f>UserH20Profiles!D22</f>
        <v>113</v>
      </c>
      <c r="E121">
        <f>UserH20Profiles!E22</f>
        <v>85</v>
      </c>
      <c r="F121">
        <f>UserH20Profiles!F22</f>
        <v>720</v>
      </c>
      <c r="G121">
        <f>UserH20Profiles!G22</f>
        <v>270</v>
      </c>
    </row>
    <row r="122" spans="1:7" x14ac:dyDescent="0.25">
      <c r="A122" t="str">
        <f>UserH20Profiles!A23</f>
        <v>Mild, Scottish 60/70/80, Bitter, Best Bitter</v>
      </c>
      <c r="B122" t="str">
        <f>UserH20Profiles!B23</f>
        <v>50-150</v>
      </c>
      <c r="C122">
        <f>UserH20Profiles!C23</f>
        <v>0</v>
      </c>
      <c r="D122">
        <f>UserH20Profiles!D23</f>
        <v>0</v>
      </c>
      <c r="E122" t="str">
        <f>UserH20Profiles!E23</f>
        <v>50-100</v>
      </c>
      <c r="F122" t="str">
        <f>UserH20Profiles!F23</f>
        <v>100-200</v>
      </c>
      <c r="G122">
        <f>UserH20Profiles!G23</f>
        <v>0</v>
      </c>
    </row>
    <row r="123" spans="1:7" x14ac:dyDescent="0.25">
      <c r="A123" t="str">
        <f>UserH20Profiles!A24</f>
        <v>Munich Helles / Pils, Weissbier Hell, Koelsch (Very Soft Water)</v>
      </c>
      <c r="B123">
        <f>UserH20Profiles!B24</f>
        <v>22</v>
      </c>
      <c r="C123">
        <f>UserH20Profiles!C24</f>
        <v>8</v>
      </c>
      <c r="D123">
        <f>UserH20Profiles!D24</f>
        <v>0</v>
      </c>
      <c r="E123">
        <f>UserH20Profiles!E24</f>
        <v>39</v>
      </c>
      <c r="F123">
        <f>UserH20Profiles!F24</f>
        <v>31</v>
      </c>
      <c r="G123">
        <f>UserH20Profiles!G24</f>
        <v>0</v>
      </c>
    </row>
    <row r="124" spans="1:7" x14ac:dyDescent="0.25">
      <c r="A124" t="str">
        <f>UserH20Profiles!A25</f>
        <v>Munich Helles and Weissbier (light and amber) (Weihenstephan School Water)</v>
      </c>
      <c r="B124">
        <f>UserH20Profiles!B25</f>
        <v>15</v>
      </c>
      <c r="C124">
        <f>UserH20Profiles!C25</f>
        <v>10</v>
      </c>
      <c r="D124">
        <f>UserH20Profiles!D25</f>
        <v>0</v>
      </c>
      <c r="E124">
        <f>UserH20Profiles!E25</f>
        <v>17</v>
      </c>
      <c r="F124">
        <f>UserH20Profiles!F25</f>
        <v>17</v>
      </c>
      <c r="G124">
        <f>UserH20Profiles!G25</f>
        <v>46</v>
      </c>
    </row>
    <row r="125" spans="1:7" x14ac:dyDescent="0.25">
      <c r="A125" t="str">
        <f>UserH20Profiles!A26</f>
        <v>Neue altbier</v>
      </c>
      <c r="B125">
        <f>UserH20Profiles!B26</f>
        <v>63</v>
      </c>
      <c r="C125">
        <f>UserH20Profiles!C26</f>
        <v>0</v>
      </c>
      <c r="D125">
        <f>UserH20Profiles!D26</f>
        <v>15</v>
      </c>
      <c r="E125">
        <f>UserH20Profiles!E26</f>
        <v>64</v>
      </c>
      <c r="F125">
        <f>UserH20Profiles!F26</f>
        <v>77</v>
      </c>
      <c r="G125">
        <f>UserH20Profiles!G26</f>
        <v>50</v>
      </c>
    </row>
    <row r="126" spans="1:7" x14ac:dyDescent="0.25">
      <c r="A126" t="str">
        <f>UserH20Profiles!A27</f>
        <v>Recommended Bavarian Water Profile (Zymurgy Mar/Apr 2014)</v>
      </c>
      <c r="B126">
        <f>UserH20Profiles!B27</f>
        <v>16</v>
      </c>
      <c r="C126">
        <f>UserH20Profiles!C27</f>
        <v>10</v>
      </c>
      <c r="D126">
        <f>UserH20Profiles!D27</f>
        <v>5</v>
      </c>
      <c r="E126">
        <f>UserH20Profiles!E27</f>
        <v>10</v>
      </c>
      <c r="F126">
        <f>UserH20Profiles!F27</f>
        <v>18</v>
      </c>
      <c r="G126">
        <f>UserH20Profiles!G27</f>
        <v>75</v>
      </c>
    </row>
    <row r="127" spans="1:7" x14ac:dyDescent="0.25">
      <c r="A127" t="str">
        <f>UserH20Profiles!A28</f>
        <v>Strong Scotch Ale, Biere de Garde, Dubbel, Old Ale, Barleywine</v>
      </c>
      <c r="B127" t="str">
        <f>UserH20Profiles!B28</f>
        <v>50-100</v>
      </c>
      <c r="C127">
        <f>UserH20Profiles!C28</f>
        <v>0</v>
      </c>
      <c r="D127">
        <f>UserH20Profiles!D28</f>
        <v>0</v>
      </c>
      <c r="E127" t="str">
        <f>UserH20Profiles!E28</f>
        <v>50-150</v>
      </c>
      <c r="F127" t="str">
        <f>UserH20Profiles!F28</f>
        <v>50-100</v>
      </c>
      <c r="G127">
        <f>UserH20Profiles!G28</f>
        <v>0</v>
      </c>
    </row>
    <row r="128" spans="1:7" x14ac:dyDescent="0.25">
      <c r="A128" t="str">
        <f>UserH20Profiles!A29</f>
        <v>Suggested London Pale Ale Profile (Zymurgy May/Jun 2014)</v>
      </c>
      <c r="B128">
        <f>UserH20Profiles!B29</f>
        <v>40</v>
      </c>
      <c r="C128">
        <f>UserH20Profiles!C29</f>
        <v>5</v>
      </c>
      <c r="D128">
        <f>UserH20Profiles!D29</f>
        <v>30</v>
      </c>
      <c r="E128">
        <f>UserH20Profiles!E29</f>
        <v>70</v>
      </c>
      <c r="F128">
        <f>UserH20Profiles!F29</f>
        <v>40</v>
      </c>
      <c r="G128">
        <f>UserH20Profiles!G29</f>
        <v>60</v>
      </c>
    </row>
    <row r="129" spans="1:7" x14ac:dyDescent="0.25">
      <c r="A129" t="str">
        <f>UserH20Profiles!A30</f>
        <v>Vienna, Oktoberfest-Maerzen</v>
      </c>
      <c r="B129" t="str">
        <f>UserH20Profiles!B30</f>
        <v>50-75</v>
      </c>
      <c r="C129">
        <f>UserH20Profiles!C30</f>
        <v>0</v>
      </c>
      <c r="D129">
        <f>UserH20Profiles!D30</f>
        <v>0</v>
      </c>
      <c r="E129" t="str">
        <f>UserH20Profiles!E30</f>
        <v>50-150</v>
      </c>
      <c r="F129" t="str">
        <f>UserH20Profiles!F30</f>
        <v>0-100</v>
      </c>
      <c r="G129">
        <f>UserH20Profiles!G30</f>
        <v>0</v>
      </c>
    </row>
    <row r="130" spans="1:7" x14ac:dyDescent="0.25">
      <c r="A130" t="str">
        <f>UserH20Profiles!A31</f>
        <v>Weizen, Witbier, Cream Ale, Blonde Ale, Koelsch</v>
      </c>
      <c r="B130" t="str">
        <f>UserH20Profiles!B31</f>
        <v>50-100</v>
      </c>
      <c r="C130">
        <f>UserH20Profiles!C31</f>
        <v>0</v>
      </c>
      <c r="D130">
        <f>UserH20Profiles!D31</f>
        <v>0</v>
      </c>
      <c r="E130" t="str">
        <f>UserH20Profiles!E31</f>
        <v>0-100</v>
      </c>
      <c r="F130" t="str">
        <f>UserH20Profiles!F31</f>
        <v>0-50</v>
      </c>
      <c r="G130">
        <f>UserH20Profiles!G31</f>
        <v>0</v>
      </c>
    </row>
    <row r="131" spans="1:7" x14ac:dyDescent="0.25">
      <c r="A131" t="str">
        <f>UserH20Profiles!A32</f>
        <v>Pilsener, Pilsen (Palmer)</v>
      </c>
      <c r="B131">
        <f>UserH20Profiles!B32</f>
        <v>10</v>
      </c>
      <c r="C131">
        <f>UserH20Profiles!C32</f>
        <v>3</v>
      </c>
      <c r="D131">
        <f>UserH20Profiles!D32</f>
        <v>3</v>
      </c>
      <c r="E131">
        <f>UserH20Profiles!E32</f>
        <v>4</v>
      </c>
      <c r="F131">
        <f>UserH20Profiles!F32</f>
        <v>4</v>
      </c>
      <c r="G131">
        <f>UserH20Profiles!G32</f>
        <v>3</v>
      </c>
    </row>
    <row r="132" spans="1:7" x14ac:dyDescent="0.25">
      <c r="A132" t="str">
        <f>UserH20Profiles!A33</f>
        <v>Export Lager, Dortmund (Palmer)</v>
      </c>
      <c r="B132">
        <f>UserH20Profiles!B33</f>
        <v>225</v>
      </c>
      <c r="C132">
        <f>UserH20Profiles!C33</f>
        <v>40</v>
      </c>
      <c r="D132">
        <f>UserH20Profiles!D33</f>
        <v>60</v>
      </c>
      <c r="E132">
        <f>UserH20Profiles!E33</f>
        <v>60</v>
      </c>
      <c r="F132">
        <f>UserH20Profiles!F33</f>
        <v>120</v>
      </c>
      <c r="G132">
        <f>UserH20Profiles!G33</f>
        <v>220</v>
      </c>
    </row>
    <row r="133" spans="1:7" x14ac:dyDescent="0.25">
      <c r="A133" t="str">
        <f>UserH20Profiles!A34</f>
        <v>Vienna Lager, Vienna (Palmer)</v>
      </c>
      <c r="B133">
        <f>UserH20Profiles!B34</f>
        <v>163</v>
      </c>
      <c r="C133">
        <f>UserH20Profiles!C34</f>
        <v>68</v>
      </c>
      <c r="D133">
        <f>UserH20Profiles!D34</f>
        <v>8</v>
      </c>
      <c r="E133">
        <f>UserH20Profiles!E34</f>
        <v>39</v>
      </c>
      <c r="F133">
        <f>UserH20Profiles!F34</f>
        <v>216</v>
      </c>
      <c r="G133">
        <f>UserH20Profiles!G34</f>
        <v>243</v>
      </c>
    </row>
    <row r="134" spans="1:7" x14ac:dyDescent="0.25">
      <c r="A134" t="str">
        <f>UserH20Profiles!A35</f>
        <v>Oktoberfest, Munich (Palmer)</v>
      </c>
      <c r="B134">
        <f>UserH20Profiles!B35</f>
        <v>109</v>
      </c>
      <c r="C134">
        <f>UserH20Profiles!C35</f>
        <v>21</v>
      </c>
      <c r="D134">
        <f>UserH20Profiles!D35</f>
        <v>2</v>
      </c>
      <c r="E134">
        <f>UserH20Profiles!E35</f>
        <v>36</v>
      </c>
      <c r="F134">
        <f>UserH20Profiles!F35</f>
        <v>79</v>
      </c>
      <c r="G134">
        <f>UserH20Profiles!G35</f>
        <v>171</v>
      </c>
    </row>
    <row r="135" spans="1:7" x14ac:dyDescent="0.25">
      <c r="A135" t="str">
        <f>UserH20Profiles!A36</f>
        <v>British Bitter, London (Palmer)</v>
      </c>
      <c r="B135">
        <f>UserH20Profiles!B36</f>
        <v>52</v>
      </c>
      <c r="C135">
        <f>UserH20Profiles!C36</f>
        <v>32</v>
      </c>
      <c r="D135">
        <f>UserH20Profiles!D36</f>
        <v>86</v>
      </c>
      <c r="E135">
        <f>UserH20Profiles!E36</f>
        <v>34</v>
      </c>
      <c r="F135">
        <f>UserH20Profiles!F36</f>
        <v>32</v>
      </c>
      <c r="G135">
        <f>UserH20Profiles!G36</f>
        <v>104</v>
      </c>
    </row>
    <row r="136" spans="1:7" x14ac:dyDescent="0.25">
      <c r="A136" t="str">
        <f>UserH20Profiles!A37</f>
        <v>Scottish Ale, Edinburgh (Palmer)</v>
      </c>
      <c r="B136">
        <f>UserH20Profiles!B37</f>
        <v>100</v>
      </c>
      <c r="C136">
        <f>UserH20Profiles!C37</f>
        <v>18</v>
      </c>
      <c r="D136">
        <f>UserH20Profiles!D37</f>
        <v>20</v>
      </c>
      <c r="E136">
        <f>UserH20Profiles!E37</f>
        <v>45</v>
      </c>
      <c r="F136">
        <f>UserH20Profiles!F37</f>
        <v>105</v>
      </c>
      <c r="G136">
        <f>UserH20Profiles!G37</f>
        <v>160</v>
      </c>
    </row>
    <row r="137" spans="1:7" x14ac:dyDescent="0.25">
      <c r="A137" t="str">
        <f>UserH20Profiles!A38</f>
        <v>India Pale Ale, Burton (Palmer)</v>
      </c>
      <c r="B137">
        <f>UserH20Profiles!B38</f>
        <v>352</v>
      </c>
      <c r="C137">
        <f>UserH20Profiles!C38</f>
        <v>24</v>
      </c>
      <c r="D137">
        <f>UserH20Profiles!D38</f>
        <v>44</v>
      </c>
      <c r="E137">
        <f>UserH20Profiles!E38</f>
        <v>16</v>
      </c>
      <c r="F137">
        <f>UserH20Profiles!F38</f>
        <v>820</v>
      </c>
      <c r="G137">
        <f>UserH20Profiles!G38</f>
        <v>320</v>
      </c>
    </row>
    <row r="138" spans="1:7" x14ac:dyDescent="0.25">
      <c r="A138" t="str">
        <f>UserH20Profiles!A39</f>
        <v>Dry Stout, Dublin (Palmer)</v>
      </c>
      <c r="B138">
        <f>UserH20Profiles!B39</f>
        <v>118</v>
      </c>
      <c r="C138">
        <f>UserH20Profiles!C39</f>
        <v>4</v>
      </c>
      <c r="D138">
        <f>UserH20Profiles!D39</f>
        <v>12</v>
      </c>
      <c r="E138">
        <f>UserH20Profiles!E39</f>
        <v>19</v>
      </c>
      <c r="F138">
        <f>UserH20Profiles!F39</f>
        <v>54</v>
      </c>
      <c r="G138">
        <f>UserH20Profiles!G39</f>
        <v>319</v>
      </c>
    </row>
    <row r="139" spans="1:7" x14ac:dyDescent="0.25">
      <c r="A139" t="str">
        <f>UserH20Profiles!A40</f>
        <v>Belgium (exc Blaugies)</v>
      </c>
      <c r="B139">
        <f>UserH20Profiles!B40</f>
        <v>130</v>
      </c>
      <c r="C139">
        <f>UserH20Profiles!C40</f>
        <v>20</v>
      </c>
      <c r="D139">
        <f>UserH20Profiles!D40</f>
        <v>12</v>
      </c>
      <c r="E139">
        <f>UserH20Profiles!E40</f>
        <v>31</v>
      </c>
      <c r="F139">
        <f>UserH20Profiles!F40</f>
        <v>80</v>
      </c>
      <c r="G139">
        <f>UserH20Profiles!G40</f>
        <v>0</v>
      </c>
    </row>
    <row r="140" spans="1:7" x14ac:dyDescent="0.25">
      <c r="A140">
        <f>UserH20Profiles!A41</f>
        <v>0</v>
      </c>
      <c r="B140">
        <f>UserH20Profiles!B41</f>
        <v>0</v>
      </c>
      <c r="C140">
        <f>UserH20Profiles!C41</f>
        <v>0</v>
      </c>
      <c r="D140">
        <f>UserH20Profiles!D41</f>
        <v>0</v>
      </c>
      <c r="E140">
        <f>UserH20Profiles!E41</f>
        <v>0</v>
      </c>
      <c r="F140">
        <f>UserH20Profiles!F41</f>
        <v>0</v>
      </c>
      <c r="G140">
        <f>UserH20Profiles!G41</f>
        <v>0</v>
      </c>
    </row>
    <row r="141" spans="1:7" x14ac:dyDescent="0.25">
      <c r="A141">
        <f>UserH20Profiles!A42</f>
        <v>0</v>
      </c>
      <c r="B141">
        <f>UserH20Profiles!B42</f>
        <v>0</v>
      </c>
      <c r="C141">
        <f>UserH20Profiles!C42</f>
        <v>0</v>
      </c>
      <c r="D141">
        <f>UserH20Profiles!D42</f>
        <v>0</v>
      </c>
      <c r="E141">
        <f>UserH20Profiles!E42</f>
        <v>0</v>
      </c>
      <c r="F141">
        <f>UserH20Profiles!F42</f>
        <v>0</v>
      </c>
      <c r="G141">
        <f>UserH20Profiles!G42</f>
        <v>0</v>
      </c>
    </row>
    <row r="142" spans="1:7" x14ac:dyDescent="0.25">
      <c r="A142">
        <f>UserH20Profiles!A43</f>
        <v>0</v>
      </c>
      <c r="B142">
        <f>UserH20Profiles!B43</f>
        <v>0</v>
      </c>
      <c r="C142">
        <f>UserH20Profiles!C43</f>
        <v>0</v>
      </c>
      <c r="D142">
        <f>UserH20Profiles!D43</f>
        <v>0</v>
      </c>
      <c r="E142">
        <f>UserH20Profiles!E43</f>
        <v>0</v>
      </c>
      <c r="F142">
        <f>UserH20Profiles!F43</f>
        <v>0</v>
      </c>
      <c r="G142">
        <f>UserH20Profiles!G43</f>
        <v>0</v>
      </c>
    </row>
    <row r="143" spans="1:7" x14ac:dyDescent="0.25">
      <c r="A143">
        <f>UserH20Profiles!A44</f>
        <v>0</v>
      </c>
      <c r="B143">
        <f>UserH20Profiles!B44</f>
        <v>0</v>
      </c>
      <c r="C143">
        <f>UserH20Profiles!C44</f>
        <v>0</v>
      </c>
      <c r="D143">
        <f>UserH20Profiles!D44</f>
        <v>0</v>
      </c>
      <c r="E143">
        <f>UserH20Profiles!E44</f>
        <v>0</v>
      </c>
      <c r="F143">
        <f>UserH20Profiles!F44</f>
        <v>0</v>
      </c>
      <c r="G143">
        <f>UserH20Profiles!G44</f>
        <v>0</v>
      </c>
    </row>
    <row r="144" spans="1:7" x14ac:dyDescent="0.25">
      <c r="A144">
        <f>UserH20Profiles!A45</f>
        <v>0</v>
      </c>
      <c r="B144">
        <f>UserH20Profiles!B45</f>
        <v>0</v>
      </c>
      <c r="C144">
        <f>UserH20Profiles!C45</f>
        <v>0</v>
      </c>
      <c r="D144">
        <f>UserH20Profiles!D45</f>
        <v>0</v>
      </c>
      <c r="E144">
        <f>UserH20Profiles!E45</f>
        <v>0</v>
      </c>
      <c r="F144">
        <f>UserH20Profiles!F45</f>
        <v>0</v>
      </c>
      <c r="G144">
        <f>UserH20Profiles!G45</f>
        <v>0</v>
      </c>
    </row>
    <row r="145" spans="1:7" x14ac:dyDescent="0.25">
      <c r="A145">
        <f>UserH20Profiles!A46</f>
        <v>0</v>
      </c>
      <c r="B145">
        <f>UserH20Profiles!B46</f>
        <v>0</v>
      </c>
      <c r="C145">
        <f>UserH20Profiles!C46</f>
        <v>0</v>
      </c>
      <c r="D145">
        <f>UserH20Profiles!D46</f>
        <v>0</v>
      </c>
      <c r="E145">
        <f>UserH20Profiles!E46</f>
        <v>0</v>
      </c>
      <c r="F145">
        <f>UserH20Profiles!F46</f>
        <v>0</v>
      </c>
      <c r="G145">
        <f>UserH20Profiles!G46</f>
        <v>0</v>
      </c>
    </row>
    <row r="146" spans="1:7" x14ac:dyDescent="0.25">
      <c r="A146">
        <f>UserH20Profiles!A47</f>
        <v>0</v>
      </c>
      <c r="B146">
        <f>UserH20Profiles!B47</f>
        <v>0</v>
      </c>
      <c r="C146">
        <f>UserH20Profiles!C47</f>
        <v>0</v>
      </c>
      <c r="D146">
        <f>UserH20Profiles!D47</f>
        <v>0</v>
      </c>
      <c r="E146">
        <f>UserH20Profiles!E47</f>
        <v>0</v>
      </c>
      <c r="F146">
        <f>UserH20Profiles!F47</f>
        <v>0</v>
      </c>
      <c r="G146">
        <f>UserH20Profiles!G47</f>
        <v>0</v>
      </c>
    </row>
    <row r="147" spans="1:7" x14ac:dyDescent="0.25">
      <c r="A147">
        <f>UserH20Profiles!A48</f>
        <v>0</v>
      </c>
      <c r="B147">
        <f>UserH20Profiles!B48</f>
        <v>0</v>
      </c>
      <c r="C147">
        <f>UserH20Profiles!C48</f>
        <v>0</v>
      </c>
      <c r="D147">
        <f>UserH20Profiles!D48</f>
        <v>0</v>
      </c>
      <c r="E147">
        <f>UserH20Profiles!E48</f>
        <v>0</v>
      </c>
      <c r="F147">
        <f>UserH20Profiles!F48</f>
        <v>0</v>
      </c>
      <c r="G147">
        <f>UserH20Profiles!G48</f>
        <v>0</v>
      </c>
    </row>
    <row r="148" spans="1:7" x14ac:dyDescent="0.25">
      <c r="A148">
        <f>UserH20Profiles!A49</f>
        <v>0</v>
      </c>
      <c r="B148">
        <f>UserH20Profiles!B49</f>
        <v>0</v>
      </c>
      <c r="C148">
        <f>UserH20Profiles!C49</f>
        <v>0</v>
      </c>
      <c r="D148">
        <f>UserH20Profiles!D49</f>
        <v>0</v>
      </c>
      <c r="E148">
        <f>UserH20Profiles!E49</f>
        <v>0</v>
      </c>
      <c r="F148">
        <f>UserH20Profiles!F49</f>
        <v>0</v>
      </c>
      <c r="G148">
        <f>UserH20Profiles!G49</f>
        <v>0</v>
      </c>
    </row>
    <row r="149" spans="1:7" x14ac:dyDescent="0.25">
      <c r="A149">
        <f>UserH20Profiles!A50</f>
        <v>0</v>
      </c>
      <c r="B149">
        <f>UserH20Profiles!B50</f>
        <v>0</v>
      </c>
      <c r="C149">
        <f>UserH20Profiles!C50</f>
        <v>0</v>
      </c>
      <c r="D149">
        <f>UserH20Profiles!D50</f>
        <v>0</v>
      </c>
      <c r="E149">
        <f>UserH20Profiles!E50</f>
        <v>0</v>
      </c>
      <c r="F149">
        <f>UserH20Profiles!F50</f>
        <v>0</v>
      </c>
      <c r="G149">
        <f>UserH20Profiles!G50</f>
        <v>0</v>
      </c>
    </row>
    <row r="150" spans="1:7" x14ac:dyDescent="0.25">
      <c r="A150">
        <f>UserH20Profiles!A51</f>
        <v>0</v>
      </c>
      <c r="B150">
        <f>UserH20Profiles!B51</f>
        <v>0</v>
      </c>
      <c r="C150">
        <f>UserH20Profiles!C51</f>
        <v>0</v>
      </c>
      <c r="D150">
        <f>UserH20Profiles!D51</f>
        <v>0</v>
      </c>
      <c r="E150">
        <f>UserH20Profiles!E51</f>
        <v>0</v>
      </c>
      <c r="F150">
        <f>UserH20Profiles!F51</f>
        <v>0</v>
      </c>
      <c r="G150">
        <f>UserH20Profiles!G51</f>
        <v>0</v>
      </c>
    </row>
    <row r="151" spans="1:7" x14ac:dyDescent="0.25">
      <c r="A151">
        <f>UserH20Profiles!A52</f>
        <v>0</v>
      </c>
      <c r="B151">
        <f>UserH20Profiles!B52</f>
        <v>0</v>
      </c>
      <c r="C151">
        <f>UserH20Profiles!C52</f>
        <v>0</v>
      </c>
      <c r="D151">
        <f>UserH20Profiles!D52</f>
        <v>0</v>
      </c>
      <c r="E151">
        <f>UserH20Profiles!E52</f>
        <v>0</v>
      </c>
      <c r="F151">
        <f>UserH20Profiles!F52</f>
        <v>0</v>
      </c>
      <c r="G151">
        <f>UserH20Profiles!G52</f>
        <v>0</v>
      </c>
    </row>
    <row r="152" spans="1:7" x14ac:dyDescent="0.25">
      <c r="A152">
        <f>UserH20Profiles!A53</f>
        <v>0</v>
      </c>
      <c r="B152">
        <f>UserH20Profiles!B53</f>
        <v>0</v>
      </c>
      <c r="C152">
        <f>UserH20Profiles!C53</f>
        <v>0</v>
      </c>
      <c r="D152">
        <f>UserH20Profiles!D53</f>
        <v>0</v>
      </c>
      <c r="E152">
        <f>UserH20Profiles!E53</f>
        <v>0</v>
      </c>
      <c r="F152">
        <f>UserH20Profiles!F53</f>
        <v>0</v>
      </c>
      <c r="G152">
        <f>UserH20Profiles!G53</f>
        <v>0</v>
      </c>
    </row>
    <row r="153" spans="1:7" x14ac:dyDescent="0.25">
      <c r="A153">
        <f>UserH20Profiles!A54</f>
        <v>0</v>
      </c>
      <c r="B153">
        <f>UserH20Profiles!B54</f>
        <v>0</v>
      </c>
      <c r="C153">
        <f>UserH20Profiles!C54</f>
        <v>0</v>
      </c>
      <c r="D153">
        <f>UserH20Profiles!D54</f>
        <v>0</v>
      </c>
      <c r="E153">
        <f>UserH20Profiles!E54</f>
        <v>0</v>
      </c>
      <c r="F153">
        <f>UserH20Profiles!F54</f>
        <v>0</v>
      </c>
      <c r="G153">
        <f>UserH20Profiles!G54</f>
        <v>0</v>
      </c>
    </row>
    <row r="154" spans="1:7" x14ac:dyDescent="0.25">
      <c r="A154">
        <f>UserH20Profiles!A55</f>
        <v>0</v>
      </c>
      <c r="B154">
        <f>UserH20Profiles!B55</f>
        <v>0</v>
      </c>
      <c r="C154">
        <f>UserH20Profiles!C55</f>
        <v>0</v>
      </c>
      <c r="D154">
        <f>UserH20Profiles!D55</f>
        <v>0</v>
      </c>
      <c r="E154">
        <f>UserH20Profiles!E55</f>
        <v>0</v>
      </c>
      <c r="F154">
        <f>UserH20Profiles!F55</f>
        <v>0</v>
      </c>
      <c r="G154">
        <f>UserH20Profiles!G55</f>
        <v>0</v>
      </c>
    </row>
    <row r="155" spans="1:7" x14ac:dyDescent="0.25">
      <c r="A155">
        <f>UserH20Profiles!A56</f>
        <v>0</v>
      </c>
      <c r="B155">
        <f>UserH20Profiles!B56</f>
        <v>0</v>
      </c>
      <c r="C155">
        <f>UserH20Profiles!C56</f>
        <v>0</v>
      </c>
      <c r="D155">
        <f>UserH20Profiles!D56</f>
        <v>0</v>
      </c>
      <c r="E155">
        <f>UserH20Profiles!E56</f>
        <v>0</v>
      </c>
      <c r="F155">
        <f>UserH20Profiles!F56</f>
        <v>0</v>
      </c>
      <c r="G155">
        <f>UserH20Profiles!G56</f>
        <v>0</v>
      </c>
    </row>
    <row r="156" spans="1:7" x14ac:dyDescent="0.25">
      <c r="A156">
        <f>UserH20Profiles!A57</f>
        <v>0</v>
      </c>
      <c r="B156">
        <f>UserH20Profiles!B57</f>
        <v>0</v>
      </c>
      <c r="C156">
        <f>UserH20Profiles!C57</f>
        <v>0</v>
      </c>
      <c r="D156">
        <f>UserH20Profiles!D57</f>
        <v>0</v>
      </c>
      <c r="E156">
        <f>UserH20Profiles!E57</f>
        <v>0</v>
      </c>
      <c r="F156">
        <f>UserH20Profiles!F57</f>
        <v>0</v>
      </c>
      <c r="G156">
        <f>UserH20Profiles!G57</f>
        <v>0</v>
      </c>
    </row>
    <row r="157" spans="1:7" x14ac:dyDescent="0.25">
      <c r="A157">
        <f>UserH20Profiles!A58</f>
        <v>0</v>
      </c>
      <c r="B157">
        <f>UserH20Profiles!B58</f>
        <v>0</v>
      </c>
      <c r="C157">
        <f>UserH20Profiles!C58</f>
        <v>0</v>
      </c>
      <c r="D157">
        <f>UserH20Profiles!D58</f>
        <v>0</v>
      </c>
      <c r="E157">
        <f>UserH20Profiles!E58</f>
        <v>0</v>
      </c>
      <c r="F157">
        <f>UserH20Profiles!F58</f>
        <v>0</v>
      </c>
      <c r="G157">
        <f>UserH20Profiles!G58</f>
        <v>0</v>
      </c>
    </row>
    <row r="158" spans="1:7" x14ac:dyDescent="0.25">
      <c r="A158">
        <f>UserH20Profiles!A59</f>
        <v>0</v>
      </c>
      <c r="B158">
        <f>UserH20Profiles!B59</f>
        <v>0</v>
      </c>
      <c r="C158">
        <f>UserH20Profiles!C59</f>
        <v>0</v>
      </c>
      <c r="D158">
        <f>UserH20Profiles!D59</f>
        <v>0</v>
      </c>
      <c r="E158">
        <f>UserH20Profiles!E59</f>
        <v>0</v>
      </c>
      <c r="F158">
        <f>UserH20Profiles!F59</f>
        <v>0</v>
      </c>
      <c r="G158">
        <f>UserH20Profiles!G59</f>
        <v>0</v>
      </c>
    </row>
    <row r="159" spans="1:7" x14ac:dyDescent="0.25">
      <c r="A159">
        <f>UserH20Profiles!A60</f>
        <v>0</v>
      </c>
      <c r="B159">
        <f>UserH20Profiles!B60</f>
        <v>0</v>
      </c>
      <c r="C159">
        <f>UserH20Profiles!C60</f>
        <v>0</v>
      </c>
      <c r="D159">
        <f>UserH20Profiles!D60</f>
        <v>0</v>
      </c>
      <c r="E159">
        <f>UserH20Profiles!E60</f>
        <v>0</v>
      </c>
      <c r="F159">
        <f>UserH20Profiles!F60</f>
        <v>0</v>
      </c>
      <c r="G159">
        <f>UserH20Profiles!G60</f>
        <v>0</v>
      </c>
    </row>
    <row r="160" spans="1:7" x14ac:dyDescent="0.25">
      <c r="A160">
        <f>UserH20Profiles!A61</f>
        <v>0</v>
      </c>
      <c r="B160">
        <f>UserH20Profiles!B61</f>
        <v>0</v>
      </c>
      <c r="C160">
        <f>UserH20Profiles!C61</f>
        <v>0</v>
      </c>
      <c r="D160">
        <f>UserH20Profiles!D61</f>
        <v>0</v>
      </c>
      <c r="E160">
        <f>UserH20Profiles!E61</f>
        <v>0</v>
      </c>
      <c r="F160">
        <f>UserH20Profiles!F61</f>
        <v>0</v>
      </c>
      <c r="G160">
        <f>UserH20Profiles!G61</f>
        <v>0</v>
      </c>
    </row>
    <row r="161" spans="1:7" x14ac:dyDescent="0.25">
      <c r="A161">
        <f>UserH20Profiles!A62</f>
        <v>0</v>
      </c>
      <c r="B161">
        <f>UserH20Profiles!B62</f>
        <v>0</v>
      </c>
      <c r="C161">
        <f>UserH20Profiles!C62</f>
        <v>0</v>
      </c>
      <c r="D161">
        <f>UserH20Profiles!D62</f>
        <v>0</v>
      </c>
      <c r="E161">
        <f>UserH20Profiles!E62</f>
        <v>0</v>
      </c>
      <c r="F161">
        <f>UserH20Profiles!F62</f>
        <v>0</v>
      </c>
      <c r="G161">
        <f>UserH20Profiles!G62</f>
        <v>0</v>
      </c>
    </row>
    <row r="162" spans="1:7" x14ac:dyDescent="0.25">
      <c r="A162">
        <f>UserH20Profiles!A63</f>
        <v>0</v>
      </c>
      <c r="B162">
        <f>UserH20Profiles!B63</f>
        <v>0</v>
      </c>
      <c r="C162">
        <f>UserH20Profiles!C63</f>
        <v>0</v>
      </c>
      <c r="D162">
        <f>UserH20Profiles!D63</f>
        <v>0</v>
      </c>
      <c r="E162">
        <f>UserH20Profiles!E63</f>
        <v>0</v>
      </c>
      <c r="F162">
        <f>UserH20Profiles!F63</f>
        <v>0</v>
      </c>
      <c r="G162">
        <f>UserH20Profiles!G63</f>
        <v>0</v>
      </c>
    </row>
    <row r="163" spans="1:7" x14ac:dyDescent="0.25">
      <c r="A163">
        <f>UserH20Profiles!A64</f>
        <v>0</v>
      </c>
      <c r="B163">
        <f>UserH20Profiles!B64</f>
        <v>0</v>
      </c>
      <c r="C163">
        <f>UserH20Profiles!C64</f>
        <v>0</v>
      </c>
      <c r="D163">
        <f>UserH20Profiles!D64</f>
        <v>0</v>
      </c>
      <c r="E163">
        <f>UserH20Profiles!E64</f>
        <v>0</v>
      </c>
      <c r="F163">
        <f>UserH20Profiles!F64</f>
        <v>0</v>
      </c>
      <c r="G163">
        <f>UserH20Profiles!G64</f>
        <v>0</v>
      </c>
    </row>
    <row r="164" spans="1:7" x14ac:dyDescent="0.25">
      <c r="A164">
        <f>UserH20Profiles!A65</f>
        <v>0</v>
      </c>
      <c r="B164">
        <f>UserH20Profiles!B65</f>
        <v>0</v>
      </c>
      <c r="C164">
        <f>UserH20Profiles!C65</f>
        <v>0</v>
      </c>
      <c r="D164">
        <f>UserH20Profiles!D65</f>
        <v>0</v>
      </c>
      <c r="E164">
        <f>UserH20Profiles!E65</f>
        <v>0</v>
      </c>
      <c r="F164">
        <f>UserH20Profiles!F65</f>
        <v>0</v>
      </c>
      <c r="G164">
        <f>UserH20Profiles!G65</f>
        <v>0</v>
      </c>
    </row>
    <row r="165" spans="1:7" x14ac:dyDescent="0.25">
      <c r="A165">
        <f>UserH20Profiles!A66</f>
        <v>0</v>
      </c>
      <c r="B165">
        <f>UserH20Profiles!B66</f>
        <v>0</v>
      </c>
      <c r="C165">
        <f>UserH20Profiles!C66</f>
        <v>0</v>
      </c>
      <c r="D165">
        <f>UserH20Profiles!D66</f>
        <v>0</v>
      </c>
      <c r="E165">
        <f>UserH20Profiles!E66</f>
        <v>0</v>
      </c>
      <c r="F165">
        <f>UserH20Profiles!F66</f>
        <v>0</v>
      </c>
      <c r="G165">
        <f>UserH20Profiles!G66</f>
        <v>0</v>
      </c>
    </row>
    <row r="166" spans="1:7" x14ac:dyDescent="0.25">
      <c r="A166">
        <f>UserH20Profiles!A67</f>
        <v>0</v>
      </c>
      <c r="B166">
        <f>UserH20Profiles!B67</f>
        <v>0</v>
      </c>
      <c r="C166">
        <f>UserH20Profiles!C67</f>
        <v>0</v>
      </c>
      <c r="D166">
        <f>UserH20Profiles!D67</f>
        <v>0</v>
      </c>
      <c r="E166">
        <f>UserH20Profiles!E67</f>
        <v>0</v>
      </c>
      <c r="F166">
        <f>UserH20Profiles!F67</f>
        <v>0</v>
      </c>
      <c r="G166">
        <f>UserH20Profiles!G67</f>
        <v>0</v>
      </c>
    </row>
    <row r="167" spans="1:7" x14ac:dyDescent="0.25">
      <c r="A167">
        <f>UserH20Profiles!A68</f>
        <v>0</v>
      </c>
      <c r="B167">
        <f>UserH20Profiles!B68</f>
        <v>0</v>
      </c>
      <c r="C167">
        <f>UserH20Profiles!C68</f>
        <v>0</v>
      </c>
      <c r="D167">
        <f>UserH20Profiles!D68</f>
        <v>0</v>
      </c>
      <c r="E167">
        <f>UserH20Profiles!E68</f>
        <v>0</v>
      </c>
      <c r="F167">
        <f>UserH20Profiles!F68</f>
        <v>0</v>
      </c>
      <c r="G167">
        <f>UserH20Profiles!G68</f>
        <v>0</v>
      </c>
    </row>
    <row r="168" spans="1:7" x14ac:dyDescent="0.25">
      <c r="A168">
        <f>UserH20Profiles!A69</f>
        <v>0</v>
      </c>
      <c r="B168">
        <f>UserH20Profiles!B69</f>
        <v>0</v>
      </c>
      <c r="C168">
        <f>UserH20Profiles!C69</f>
        <v>0</v>
      </c>
      <c r="D168">
        <f>UserH20Profiles!D69</f>
        <v>0</v>
      </c>
      <c r="E168">
        <f>UserH20Profiles!E69</f>
        <v>0</v>
      </c>
      <c r="F168">
        <f>UserH20Profiles!F69</f>
        <v>0</v>
      </c>
      <c r="G168">
        <f>UserH20Profiles!G69</f>
        <v>0</v>
      </c>
    </row>
    <row r="169" spans="1:7" x14ac:dyDescent="0.25">
      <c r="A169">
        <f>UserH20Profiles!A70</f>
        <v>0</v>
      </c>
      <c r="B169">
        <f>UserH20Profiles!B70</f>
        <v>0</v>
      </c>
      <c r="C169">
        <f>UserH20Profiles!C70</f>
        <v>0</v>
      </c>
      <c r="D169">
        <f>UserH20Profiles!D70</f>
        <v>0</v>
      </c>
      <c r="E169">
        <f>UserH20Profiles!E70</f>
        <v>0</v>
      </c>
      <c r="F169">
        <f>UserH20Profiles!F70</f>
        <v>0</v>
      </c>
      <c r="G169">
        <f>UserH20Profiles!G70</f>
        <v>0</v>
      </c>
    </row>
    <row r="170" spans="1:7" x14ac:dyDescent="0.25">
      <c r="A170">
        <f>UserH20Profiles!A71</f>
        <v>0</v>
      </c>
      <c r="B170">
        <f>UserH20Profiles!B71</f>
        <v>0</v>
      </c>
      <c r="C170">
        <f>UserH20Profiles!C71</f>
        <v>0</v>
      </c>
      <c r="D170">
        <f>UserH20Profiles!D71</f>
        <v>0</v>
      </c>
      <c r="E170">
        <f>UserH20Profiles!E71</f>
        <v>0</v>
      </c>
      <c r="F170">
        <f>UserH20Profiles!F71</f>
        <v>0</v>
      </c>
      <c r="G170">
        <f>UserH20Profiles!G71</f>
        <v>0</v>
      </c>
    </row>
    <row r="171" spans="1:7" x14ac:dyDescent="0.25">
      <c r="A171">
        <f>UserH20Profiles!A72</f>
        <v>0</v>
      </c>
      <c r="B171">
        <f>UserH20Profiles!B72</f>
        <v>0</v>
      </c>
      <c r="C171">
        <f>UserH20Profiles!C72</f>
        <v>0</v>
      </c>
      <c r="D171">
        <f>UserH20Profiles!D72</f>
        <v>0</v>
      </c>
      <c r="E171">
        <f>UserH20Profiles!E72</f>
        <v>0</v>
      </c>
      <c r="F171">
        <f>UserH20Profiles!F72</f>
        <v>0</v>
      </c>
      <c r="G171">
        <f>UserH20Profiles!G72</f>
        <v>0</v>
      </c>
    </row>
    <row r="172" spans="1:7" x14ac:dyDescent="0.25">
      <c r="A172">
        <f>UserH20Profiles!A73</f>
        <v>0</v>
      </c>
      <c r="B172">
        <f>UserH20Profiles!B73</f>
        <v>0</v>
      </c>
      <c r="C172">
        <f>UserH20Profiles!C73</f>
        <v>0</v>
      </c>
      <c r="D172">
        <f>UserH20Profiles!D73</f>
        <v>0</v>
      </c>
      <c r="E172">
        <f>UserH20Profiles!E73</f>
        <v>0</v>
      </c>
      <c r="F172">
        <f>UserH20Profiles!F73</f>
        <v>0</v>
      </c>
      <c r="G172">
        <f>UserH20Profiles!G73</f>
        <v>0</v>
      </c>
    </row>
    <row r="173" spans="1:7" x14ac:dyDescent="0.25">
      <c r="A173">
        <f>UserH20Profiles!A74</f>
        <v>0</v>
      </c>
      <c r="B173">
        <f>UserH20Profiles!B74</f>
        <v>0</v>
      </c>
      <c r="C173">
        <f>UserH20Profiles!C74</f>
        <v>0</v>
      </c>
      <c r="D173">
        <f>UserH20Profiles!D74</f>
        <v>0</v>
      </c>
      <c r="E173">
        <f>UserH20Profiles!E74</f>
        <v>0</v>
      </c>
      <c r="F173">
        <f>UserH20Profiles!F74</f>
        <v>0</v>
      </c>
      <c r="G173">
        <f>UserH20Profiles!G74</f>
        <v>0</v>
      </c>
    </row>
    <row r="174" spans="1:7" x14ac:dyDescent="0.25">
      <c r="A174">
        <f>UserH20Profiles!A75</f>
        <v>0</v>
      </c>
      <c r="B174">
        <f>UserH20Profiles!B75</f>
        <v>0</v>
      </c>
      <c r="C174">
        <f>UserH20Profiles!C75</f>
        <v>0</v>
      </c>
      <c r="D174">
        <f>UserH20Profiles!D75</f>
        <v>0</v>
      </c>
      <c r="E174">
        <f>UserH20Profiles!E75</f>
        <v>0</v>
      </c>
      <c r="F174">
        <f>UserH20Profiles!F75</f>
        <v>0</v>
      </c>
      <c r="G174">
        <f>UserH20Profiles!G75</f>
        <v>0</v>
      </c>
    </row>
    <row r="175" spans="1:7" x14ac:dyDescent="0.25">
      <c r="A175">
        <f>UserH20Profiles!A76</f>
        <v>0</v>
      </c>
      <c r="B175">
        <f>UserH20Profiles!B76</f>
        <v>0</v>
      </c>
      <c r="C175">
        <f>UserH20Profiles!C76</f>
        <v>0</v>
      </c>
      <c r="D175">
        <f>UserH20Profiles!D76</f>
        <v>0</v>
      </c>
      <c r="E175">
        <f>UserH20Profiles!E76</f>
        <v>0</v>
      </c>
      <c r="F175">
        <f>UserH20Profiles!F76</f>
        <v>0</v>
      </c>
      <c r="G175">
        <f>UserH20Profiles!G76</f>
        <v>0</v>
      </c>
    </row>
    <row r="176" spans="1:7" x14ac:dyDescent="0.25">
      <c r="A176">
        <f>UserH20Profiles!A77</f>
        <v>0</v>
      </c>
      <c r="B176">
        <f>UserH20Profiles!B77</f>
        <v>0</v>
      </c>
      <c r="C176">
        <f>UserH20Profiles!C77</f>
        <v>0</v>
      </c>
      <c r="D176">
        <f>UserH20Profiles!D77</f>
        <v>0</v>
      </c>
      <c r="E176">
        <f>UserH20Profiles!E77</f>
        <v>0</v>
      </c>
      <c r="F176">
        <f>UserH20Profiles!F77</f>
        <v>0</v>
      </c>
      <c r="G176">
        <f>UserH20Profiles!G77</f>
        <v>0</v>
      </c>
    </row>
    <row r="177" spans="1:7" x14ac:dyDescent="0.25">
      <c r="A177">
        <f>UserH20Profiles!A78</f>
        <v>0</v>
      </c>
      <c r="B177">
        <f>UserH20Profiles!B78</f>
        <v>0</v>
      </c>
      <c r="C177">
        <f>UserH20Profiles!C78</f>
        <v>0</v>
      </c>
      <c r="D177">
        <f>UserH20Profiles!D78</f>
        <v>0</v>
      </c>
      <c r="E177">
        <f>UserH20Profiles!E78</f>
        <v>0</v>
      </c>
      <c r="F177">
        <f>UserH20Profiles!F78</f>
        <v>0</v>
      </c>
      <c r="G177">
        <f>UserH20Profiles!G78</f>
        <v>0</v>
      </c>
    </row>
    <row r="178" spans="1:7" x14ac:dyDescent="0.25">
      <c r="A178">
        <f>UserH20Profiles!A79</f>
        <v>0</v>
      </c>
      <c r="B178">
        <f>UserH20Profiles!B79</f>
        <v>0</v>
      </c>
      <c r="C178">
        <f>UserH20Profiles!C79</f>
        <v>0</v>
      </c>
      <c r="D178">
        <f>UserH20Profiles!D79</f>
        <v>0</v>
      </c>
      <c r="E178">
        <f>UserH20Profiles!E79</f>
        <v>0</v>
      </c>
      <c r="F178">
        <f>UserH20Profiles!F79</f>
        <v>0</v>
      </c>
      <c r="G178">
        <f>UserH20Profiles!G79</f>
        <v>0</v>
      </c>
    </row>
    <row r="179" spans="1:7" x14ac:dyDescent="0.25">
      <c r="A179">
        <f>UserH20Profiles!A80</f>
        <v>0</v>
      </c>
      <c r="B179">
        <f>UserH20Profiles!B80</f>
        <v>0</v>
      </c>
      <c r="C179">
        <f>UserH20Profiles!C80</f>
        <v>0</v>
      </c>
      <c r="D179">
        <f>UserH20Profiles!D80</f>
        <v>0</v>
      </c>
      <c r="E179">
        <f>UserH20Profiles!E80</f>
        <v>0</v>
      </c>
      <c r="F179">
        <f>UserH20Profiles!F80</f>
        <v>0</v>
      </c>
      <c r="G179">
        <f>UserH20Profiles!G80</f>
        <v>0</v>
      </c>
    </row>
    <row r="180" spans="1:7" x14ac:dyDescent="0.25">
      <c r="A180">
        <f>UserH20Profiles!A81</f>
        <v>0</v>
      </c>
      <c r="B180">
        <f>UserH20Profiles!B81</f>
        <v>0</v>
      </c>
      <c r="C180">
        <f>UserH20Profiles!C81</f>
        <v>0</v>
      </c>
      <c r="D180">
        <f>UserH20Profiles!D81</f>
        <v>0</v>
      </c>
      <c r="E180">
        <f>UserH20Profiles!E81</f>
        <v>0</v>
      </c>
      <c r="F180">
        <f>UserH20Profiles!F81</f>
        <v>0</v>
      </c>
      <c r="G180">
        <f>UserH20Profiles!G81</f>
        <v>0</v>
      </c>
    </row>
    <row r="181" spans="1:7" x14ac:dyDescent="0.25">
      <c r="A181">
        <f>UserH20Profiles!A82</f>
        <v>0</v>
      </c>
      <c r="B181">
        <f>UserH20Profiles!B82</f>
        <v>0</v>
      </c>
      <c r="C181">
        <f>UserH20Profiles!C82</f>
        <v>0</v>
      </c>
      <c r="D181">
        <f>UserH20Profiles!D82</f>
        <v>0</v>
      </c>
      <c r="E181">
        <f>UserH20Profiles!E82</f>
        <v>0</v>
      </c>
      <c r="F181">
        <f>UserH20Profiles!F82</f>
        <v>0</v>
      </c>
      <c r="G181">
        <f>UserH20Profiles!G82</f>
        <v>0</v>
      </c>
    </row>
    <row r="182" spans="1:7" x14ac:dyDescent="0.25">
      <c r="A182">
        <f>UserH20Profiles!A83</f>
        <v>0</v>
      </c>
      <c r="B182">
        <f>UserH20Profiles!B83</f>
        <v>0</v>
      </c>
      <c r="C182">
        <f>UserH20Profiles!C83</f>
        <v>0</v>
      </c>
      <c r="D182">
        <f>UserH20Profiles!D83</f>
        <v>0</v>
      </c>
      <c r="E182">
        <f>UserH20Profiles!E83</f>
        <v>0</v>
      </c>
      <c r="F182">
        <f>UserH20Profiles!F83</f>
        <v>0</v>
      </c>
      <c r="G182">
        <f>UserH20Profiles!G83</f>
        <v>0</v>
      </c>
    </row>
    <row r="183" spans="1:7" x14ac:dyDescent="0.25">
      <c r="A183">
        <f>UserH20Profiles!A84</f>
        <v>0</v>
      </c>
      <c r="B183">
        <f>UserH20Profiles!B84</f>
        <v>0</v>
      </c>
      <c r="C183">
        <f>UserH20Profiles!C84</f>
        <v>0</v>
      </c>
      <c r="D183">
        <f>UserH20Profiles!D84</f>
        <v>0</v>
      </c>
      <c r="E183">
        <f>UserH20Profiles!E84</f>
        <v>0</v>
      </c>
      <c r="F183">
        <f>UserH20Profiles!F84</f>
        <v>0</v>
      </c>
      <c r="G183">
        <f>UserH20Profiles!G84</f>
        <v>0</v>
      </c>
    </row>
    <row r="184" spans="1:7" x14ac:dyDescent="0.25">
      <c r="A184">
        <f>UserH20Profiles!A85</f>
        <v>0</v>
      </c>
      <c r="B184">
        <f>UserH20Profiles!B85</f>
        <v>0</v>
      </c>
      <c r="C184">
        <f>UserH20Profiles!C85</f>
        <v>0</v>
      </c>
      <c r="D184">
        <f>UserH20Profiles!D85</f>
        <v>0</v>
      </c>
      <c r="E184">
        <f>UserH20Profiles!E85</f>
        <v>0</v>
      </c>
      <c r="F184">
        <f>UserH20Profiles!F85</f>
        <v>0</v>
      </c>
      <c r="G184">
        <f>UserH20Profiles!G85</f>
        <v>0</v>
      </c>
    </row>
    <row r="185" spans="1:7" x14ac:dyDescent="0.25">
      <c r="A185">
        <f>UserH20Profiles!A86</f>
        <v>0</v>
      </c>
      <c r="B185">
        <f>UserH20Profiles!B86</f>
        <v>0</v>
      </c>
      <c r="C185">
        <f>UserH20Profiles!C86</f>
        <v>0</v>
      </c>
      <c r="D185">
        <f>UserH20Profiles!D86</f>
        <v>0</v>
      </c>
      <c r="E185">
        <f>UserH20Profiles!E86</f>
        <v>0</v>
      </c>
      <c r="F185">
        <f>UserH20Profiles!F86</f>
        <v>0</v>
      </c>
      <c r="G185">
        <f>UserH20Profiles!G86</f>
        <v>0</v>
      </c>
    </row>
    <row r="186" spans="1:7" x14ac:dyDescent="0.25">
      <c r="A186">
        <f>UserH20Profiles!A87</f>
        <v>0</v>
      </c>
      <c r="B186">
        <f>UserH20Profiles!B87</f>
        <v>0</v>
      </c>
      <c r="C186">
        <f>UserH20Profiles!C87</f>
        <v>0</v>
      </c>
      <c r="D186">
        <f>UserH20Profiles!D87</f>
        <v>0</v>
      </c>
      <c r="E186">
        <f>UserH20Profiles!E87</f>
        <v>0</v>
      </c>
      <c r="F186">
        <f>UserH20Profiles!F87</f>
        <v>0</v>
      </c>
      <c r="G186">
        <f>UserH20Profiles!G87</f>
        <v>0</v>
      </c>
    </row>
    <row r="187" spans="1:7" x14ac:dyDescent="0.25">
      <c r="A187">
        <f>UserH20Profiles!A88</f>
        <v>0</v>
      </c>
      <c r="B187">
        <f>UserH20Profiles!B88</f>
        <v>0</v>
      </c>
      <c r="C187">
        <f>UserH20Profiles!C88</f>
        <v>0</v>
      </c>
      <c r="D187">
        <f>UserH20Profiles!D88</f>
        <v>0</v>
      </c>
      <c r="E187">
        <f>UserH20Profiles!E88</f>
        <v>0</v>
      </c>
      <c r="F187">
        <f>UserH20Profiles!F88</f>
        <v>0</v>
      </c>
      <c r="G187">
        <f>UserH20Profiles!G88</f>
        <v>0</v>
      </c>
    </row>
    <row r="188" spans="1:7" x14ac:dyDescent="0.25">
      <c r="A188">
        <f>UserH20Profiles!A89</f>
        <v>0</v>
      </c>
      <c r="B188">
        <f>UserH20Profiles!B89</f>
        <v>0</v>
      </c>
      <c r="C188">
        <f>UserH20Profiles!C89</f>
        <v>0</v>
      </c>
      <c r="D188">
        <f>UserH20Profiles!D89</f>
        <v>0</v>
      </c>
      <c r="E188">
        <f>UserH20Profiles!E89</f>
        <v>0</v>
      </c>
      <c r="F188">
        <f>UserH20Profiles!F89</f>
        <v>0</v>
      </c>
      <c r="G188">
        <f>UserH20Profiles!G89</f>
        <v>0</v>
      </c>
    </row>
    <row r="189" spans="1:7" x14ac:dyDescent="0.25">
      <c r="A189">
        <f>UserH20Profiles!A90</f>
        <v>0</v>
      </c>
      <c r="B189">
        <f>UserH20Profiles!B90</f>
        <v>0</v>
      </c>
      <c r="C189">
        <f>UserH20Profiles!C90</f>
        <v>0</v>
      </c>
      <c r="D189">
        <f>UserH20Profiles!D90</f>
        <v>0</v>
      </c>
      <c r="E189">
        <f>UserH20Profiles!E90</f>
        <v>0</v>
      </c>
      <c r="F189">
        <f>UserH20Profiles!F90</f>
        <v>0</v>
      </c>
      <c r="G189">
        <f>UserH20Profiles!G90</f>
        <v>0</v>
      </c>
    </row>
    <row r="190" spans="1:7" x14ac:dyDescent="0.25">
      <c r="A190">
        <f>UserH20Profiles!A91</f>
        <v>0</v>
      </c>
      <c r="B190">
        <f>UserH20Profiles!B91</f>
        <v>0</v>
      </c>
      <c r="C190">
        <f>UserH20Profiles!C91</f>
        <v>0</v>
      </c>
      <c r="D190">
        <f>UserH20Profiles!D91</f>
        <v>0</v>
      </c>
      <c r="E190">
        <f>UserH20Profiles!E91</f>
        <v>0</v>
      </c>
      <c r="F190">
        <f>UserH20Profiles!F91</f>
        <v>0</v>
      </c>
      <c r="G190">
        <f>UserH20Profiles!G91</f>
        <v>0</v>
      </c>
    </row>
    <row r="191" spans="1:7" x14ac:dyDescent="0.25">
      <c r="A191">
        <f>UserH20Profiles!A92</f>
        <v>0</v>
      </c>
      <c r="B191">
        <f>UserH20Profiles!B92</f>
        <v>0</v>
      </c>
      <c r="C191">
        <f>UserH20Profiles!C92</f>
        <v>0</v>
      </c>
      <c r="D191">
        <f>UserH20Profiles!D92</f>
        <v>0</v>
      </c>
      <c r="E191">
        <f>UserH20Profiles!E92</f>
        <v>0</v>
      </c>
      <c r="F191">
        <f>UserH20Profiles!F92</f>
        <v>0</v>
      </c>
      <c r="G191">
        <f>UserH20Profiles!G92</f>
        <v>0</v>
      </c>
    </row>
    <row r="192" spans="1:7" x14ac:dyDescent="0.25">
      <c r="A192">
        <f>UserH20Profiles!A93</f>
        <v>0</v>
      </c>
      <c r="B192">
        <f>UserH20Profiles!B93</f>
        <v>0</v>
      </c>
      <c r="C192">
        <f>UserH20Profiles!C93</f>
        <v>0</v>
      </c>
      <c r="D192">
        <f>UserH20Profiles!D93</f>
        <v>0</v>
      </c>
      <c r="E192">
        <f>UserH20Profiles!E93</f>
        <v>0</v>
      </c>
      <c r="F192">
        <f>UserH20Profiles!F93</f>
        <v>0</v>
      </c>
      <c r="G192">
        <f>UserH20Profiles!G93</f>
        <v>0</v>
      </c>
    </row>
    <row r="193" spans="1:7" x14ac:dyDescent="0.25">
      <c r="A193">
        <f>UserH20Profiles!A94</f>
        <v>0</v>
      </c>
      <c r="B193">
        <f>UserH20Profiles!B94</f>
        <v>0</v>
      </c>
      <c r="C193">
        <f>UserH20Profiles!C94</f>
        <v>0</v>
      </c>
      <c r="D193">
        <f>UserH20Profiles!D94</f>
        <v>0</v>
      </c>
      <c r="E193">
        <f>UserH20Profiles!E94</f>
        <v>0</v>
      </c>
      <c r="F193">
        <f>UserH20Profiles!F94</f>
        <v>0</v>
      </c>
      <c r="G193">
        <f>UserH20Profiles!G94</f>
        <v>0</v>
      </c>
    </row>
    <row r="194" spans="1:7" x14ac:dyDescent="0.25">
      <c r="A194">
        <f>UserH20Profiles!A95</f>
        <v>0</v>
      </c>
      <c r="B194">
        <f>UserH20Profiles!B95</f>
        <v>0</v>
      </c>
      <c r="C194">
        <f>UserH20Profiles!C95</f>
        <v>0</v>
      </c>
      <c r="D194">
        <f>UserH20Profiles!D95</f>
        <v>0</v>
      </c>
      <c r="E194">
        <f>UserH20Profiles!E95</f>
        <v>0</v>
      </c>
      <c r="F194">
        <f>UserH20Profiles!F95</f>
        <v>0</v>
      </c>
      <c r="G194">
        <f>UserH20Profiles!G95</f>
        <v>0</v>
      </c>
    </row>
    <row r="195" spans="1:7" x14ac:dyDescent="0.25">
      <c r="A195">
        <f>UserH20Profiles!A96</f>
        <v>0</v>
      </c>
      <c r="B195">
        <f>UserH20Profiles!B96</f>
        <v>0</v>
      </c>
      <c r="C195">
        <f>UserH20Profiles!C96</f>
        <v>0</v>
      </c>
      <c r="D195">
        <f>UserH20Profiles!D96</f>
        <v>0</v>
      </c>
      <c r="E195">
        <f>UserH20Profiles!E96</f>
        <v>0</v>
      </c>
      <c r="F195">
        <f>UserH20Profiles!F96</f>
        <v>0</v>
      </c>
      <c r="G195">
        <f>UserH20Profiles!G96</f>
        <v>0</v>
      </c>
    </row>
    <row r="196" spans="1:7" x14ac:dyDescent="0.25">
      <c r="A196">
        <f>UserH20Profiles!A97</f>
        <v>0</v>
      </c>
      <c r="B196">
        <f>UserH20Profiles!B97</f>
        <v>0</v>
      </c>
      <c r="C196">
        <f>UserH20Profiles!C97</f>
        <v>0</v>
      </c>
      <c r="D196">
        <f>UserH20Profiles!D97</f>
        <v>0</v>
      </c>
      <c r="E196">
        <f>UserH20Profiles!E97</f>
        <v>0</v>
      </c>
      <c r="F196">
        <f>UserH20Profiles!F97</f>
        <v>0</v>
      </c>
      <c r="G196">
        <f>UserH20Profiles!G97</f>
        <v>0</v>
      </c>
    </row>
    <row r="197" spans="1:7" x14ac:dyDescent="0.25">
      <c r="A197">
        <f>UserH20Profiles!A98</f>
        <v>0</v>
      </c>
      <c r="B197">
        <f>UserH20Profiles!B98</f>
        <v>0</v>
      </c>
      <c r="C197">
        <f>UserH20Profiles!C98</f>
        <v>0</v>
      </c>
      <c r="D197">
        <f>UserH20Profiles!D98</f>
        <v>0</v>
      </c>
      <c r="E197">
        <f>UserH20Profiles!E98</f>
        <v>0</v>
      </c>
      <c r="F197">
        <f>UserH20Profiles!F98</f>
        <v>0</v>
      </c>
      <c r="G197">
        <f>UserH20Profiles!G98</f>
        <v>0</v>
      </c>
    </row>
    <row r="198" spans="1:7" x14ac:dyDescent="0.25">
      <c r="A198">
        <f>UserH20Profiles!A99</f>
        <v>0</v>
      </c>
      <c r="B198">
        <f>UserH20Profiles!B99</f>
        <v>0</v>
      </c>
      <c r="C198">
        <f>UserH20Profiles!C99</f>
        <v>0</v>
      </c>
      <c r="D198">
        <f>UserH20Profiles!D99</f>
        <v>0</v>
      </c>
      <c r="E198">
        <f>UserH20Profiles!E99</f>
        <v>0</v>
      </c>
      <c r="F198">
        <f>UserH20Profiles!F99</f>
        <v>0</v>
      </c>
      <c r="G198">
        <f>UserH20Profiles!G99</f>
        <v>0</v>
      </c>
    </row>
    <row r="199" spans="1:7" x14ac:dyDescent="0.25">
      <c r="A199">
        <f>UserH20Profiles!A100</f>
        <v>0</v>
      </c>
      <c r="B199">
        <f>UserH20Profiles!B100</f>
        <v>0</v>
      </c>
      <c r="C199">
        <f>UserH20Profiles!C100</f>
        <v>0</v>
      </c>
      <c r="D199">
        <f>UserH20Profiles!D100</f>
        <v>0</v>
      </c>
      <c r="E199">
        <f>UserH20Profiles!E100</f>
        <v>0</v>
      </c>
      <c r="F199">
        <f>UserH20Profiles!F100</f>
        <v>0</v>
      </c>
      <c r="G199">
        <f>UserH20Profiles!G100</f>
        <v>0</v>
      </c>
    </row>
    <row r="200" spans="1:7" x14ac:dyDescent="0.25">
      <c r="A200">
        <f>UserH20Profiles!A101</f>
        <v>0</v>
      </c>
      <c r="B200">
        <f>UserH20Profiles!B101</f>
        <v>0</v>
      </c>
      <c r="C200">
        <f>UserH20Profiles!C101</f>
        <v>0</v>
      </c>
      <c r="D200">
        <f>UserH20Profiles!D101</f>
        <v>0</v>
      </c>
      <c r="E200">
        <f>UserH20Profiles!E101</f>
        <v>0</v>
      </c>
      <c r="F200">
        <f>UserH20Profiles!F101</f>
        <v>0</v>
      </c>
      <c r="G200">
        <f>UserH20Profiles!G101</f>
        <v>0</v>
      </c>
    </row>
  </sheetData>
  <sheetProtection password="CB17" sheet="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2"/>
  <dimension ref="A1:O154"/>
  <sheetViews>
    <sheetView workbookViewId="0">
      <selection activeCell="E16" sqref="E16"/>
    </sheetView>
  </sheetViews>
  <sheetFormatPr defaultRowHeight="15" x14ac:dyDescent="0.25"/>
  <cols>
    <col min="1" max="1" width="35.42578125" customWidth="1"/>
    <col min="2" max="2" width="24.140625" customWidth="1"/>
    <col min="4" max="4" width="12.5703125" bestFit="1" customWidth="1"/>
    <col min="5" max="5" width="18.42578125" customWidth="1"/>
    <col min="7" max="7" width="12" customWidth="1"/>
  </cols>
  <sheetData>
    <row r="1" spans="1:6" x14ac:dyDescent="0.25">
      <c r="A1" t="s">
        <v>580</v>
      </c>
      <c r="B1">
        <f>Recipe!H42</f>
        <v>1</v>
      </c>
      <c r="E1" s="219">
        <f>Recipe!J42</f>
        <v>0</v>
      </c>
      <c r="F1" t="s">
        <v>655</v>
      </c>
    </row>
    <row r="2" spans="1:6" x14ac:dyDescent="0.25">
      <c r="A2" t="s">
        <v>581</v>
      </c>
      <c r="B2">
        <f>Recipe!K42</f>
        <v>10</v>
      </c>
      <c r="E2" s="223">
        <f>Brewhouse!O26</f>
        <v>2.4</v>
      </c>
      <c r="F2" t="s">
        <v>651</v>
      </c>
    </row>
    <row r="3" spans="1:6" x14ac:dyDescent="0.25">
      <c r="A3" t="s">
        <v>582</v>
      </c>
      <c r="B3" s="219">
        <f>Brewhouse!C26*1000000000</f>
        <v>220000000000</v>
      </c>
      <c r="E3">
        <f>Brewhouse!V26</f>
        <v>15</v>
      </c>
      <c r="F3" t="s">
        <v>652</v>
      </c>
    </row>
    <row r="4" spans="1:6" x14ac:dyDescent="0.25">
      <c r="A4" t="s">
        <v>583</v>
      </c>
      <c r="B4">
        <f>B1*B3</f>
        <v>220000000000</v>
      </c>
      <c r="E4" s="219">
        <f>(E1*E2*1000000000)*(1-(E3/100))</f>
        <v>0</v>
      </c>
      <c r="F4" t="s">
        <v>656</v>
      </c>
    </row>
    <row r="5" spans="1:6" x14ac:dyDescent="0.25">
      <c r="A5" t="s">
        <v>640</v>
      </c>
      <c r="B5">
        <f>((1-D7)^B2)</f>
        <v>0.93216433999924353</v>
      </c>
      <c r="E5" s="219">
        <f>IF(B6&gt;0, E4*B6, E4*((1-D7)^B2))</f>
        <v>0</v>
      </c>
      <c r="F5" t="s">
        <v>657</v>
      </c>
    </row>
    <row r="6" spans="1:6" x14ac:dyDescent="0.25">
      <c r="A6" t="s">
        <v>639</v>
      </c>
      <c r="B6" s="239">
        <f>Recipe!M42</f>
        <v>0</v>
      </c>
      <c r="E6" s="219" t="e">
        <f>E5/E1</f>
        <v>#DIV/0!</v>
      </c>
      <c r="F6" t="s">
        <v>660</v>
      </c>
    </row>
    <row r="7" spans="1:6" x14ac:dyDescent="0.25">
      <c r="A7" t="s">
        <v>584</v>
      </c>
      <c r="B7" s="219">
        <f xml:space="preserve">  IF(E5&gt;0, E5,                             IF(B6&gt;0, B4*B6, B4*((1-D7)^B2)))</f>
        <v>205076154799.83359</v>
      </c>
      <c r="D7" s="242">
        <f>Brewhouse!H26</f>
        <v>7.0000000000000001E-3</v>
      </c>
      <c r="E7" s="99" t="s">
        <v>633</v>
      </c>
    </row>
    <row r="8" spans="1:6" x14ac:dyDescent="0.25">
      <c r="D8" s="53">
        <f>Brewhouse!AA23</f>
        <v>25</v>
      </c>
      <c r="E8" t="s">
        <v>634</v>
      </c>
    </row>
    <row r="9" spans="1:6" x14ac:dyDescent="0.25">
      <c r="A9" s="220" t="s">
        <v>585</v>
      </c>
      <c r="D9" s="53">
        <f>Brewhouse!AA26</f>
        <v>100</v>
      </c>
      <c r="E9" t="s">
        <v>635</v>
      </c>
    </row>
    <row r="10" spans="1:6" x14ac:dyDescent="0.25">
      <c r="A10" t="s">
        <v>586</v>
      </c>
      <c r="B10" s="243">
        <f>Brewhouse!H23</f>
        <v>750000</v>
      </c>
      <c r="D10" s="221"/>
    </row>
    <row r="11" spans="1:6" x14ac:dyDescent="0.25">
      <c r="A11" t="s">
        <v>588</v>
      </c>
      <c r="B11" s="243">
        <f>Brewhouse!V23</f>
        <v>1000000</v>
      </c>
      <c r="D11" s="221"/>
    </row>
    <row r="12" spans="1:6" x14ac:dyDescent="0.25">
      <c r="A12" t="s">
        <v>587</v>
      </c>
      <c r="B12" s="243">
        <f>Brewhouse!O23</f>
        <v>1500000</v>
      </c>
      <c r="D12" s="221"/>
    </row>
    <row r="13" spans="1:6" x14ac:dyDescent="0.25">
      <c r="A13" t="s">
        <v>121</v>
      </c>
      <c r="B13" t="str">
        <f>Recipe!B42</f>
        <v>Wyeast 1098 - British Ale</v>
      </c>
      <c r="D13" s="222"/>
    </row>
    <row r="14" spans="1:6" x14ac:dyDescent="0.25">
      <c r="A14" t="s">
        <v>589</v>
      </c>
      <c r="B14" t="str">
        <f>VLOOKUP(B13,YEASTLOOKUP!$A$2:$C$120,3,0)</f>
        <v>A</v>
      </c>
      <c r="D14" s="222"/>
    </row>
    <row r="15" spans="1:6" x14ac:dyDescent="0.25">
      <c r="A15" t="s">
        <v>594</v>
      </c>
      <c r="B15" s="219">
        <f>IF(B14="A", B10,   IF(B14="H", B11,  B12 ))</f>
        <v>750000</v>
      </c>
      <c r="D15" s="222"/>
      <c r="E15">
        <f>B7/B1</f>
        <v>205076154799.83359</v>
      </c>
      <c r="F15" t="s">
        <v>1269</v>
      </c>
    </row>
    <row r="16" spans="1:6" x14ac:dyDescent="0.25">
      <c r="A16" t="s">
        <v>590</v>
      </c>
      <c r="B16">
        <f>HopCalc!C6</f>
        <v>4.9000000000000004</v>
      </c>
      <c r="D16" s="222"/>
      <c r="E16">
        <f>B20/E15</f>
        <v>1.0589925571943115</v>
      </c>
      <c r="F16" t="s">
        <v>1268</v>
      </c>
    </row>
    <row r="17" spans="1:15" x14ac:dyDescent="0.25">
      <c r="A17" t="s">
        <v>591</v>
      </c>
      <c r="B17">
        <f>B16*3785</f>
        <v>18546.5</v>
      </c>
    </row>
    <row r="18" spans="1:15" x14ac:dyDescent="0.25">
      <c r="A18" t="s">
        <v>592</v>
      </c>
      <c r="B18">
        <f>GravCalcs!J23+1</f>
        <v>1.0637463501246882</v>
      </c>
    </row>
    <row r="19" spans="1:15" x14ac:dyDescent="0.25">
      <c r="A19" t="s">
        <v>593</v>
      </c>
      <c r="B19">
        <f xml:space="preserve">  (-1*616.868) + (1111.14*B18) - (630.272*B18^2) + (135.997*B18^3)</f>
        <v>15.612945593763584</v>
      </c>
      <c r="D19" s="99"/>
      <c r="E19" t="s">
        <v>658</v>
      </c>
    </row>
    <row r="20" spans="1:15" x14ac:dyDescent="0.25">
      <c r="A20" t="s">
        <v>585</v>
      </c>
      <c r="B20" s="219">
        <f>B15*B17*B19</f>
        <v>217174121591.05225</v>
      </c>
      <c r="E20" t="e">
        <f>B20/E6</f>
        <v>#DIV/0!</v>
      </c>
      <c r="F20" t="s">
        <v>659</v>
      </c>
      <c r="H20" t="s">
        <v>662</v>
      </c>
    </row>
    <row r="21" spans="1:15" x14ac:dyDescent="0.25">
      <c r="A21" t="s">
        <v>595</v>
      </c>
      <c r="B21" s="223">
        <f>B20/B7</f>
        <v>1.0589925571943115</v>
      </c>
      <c r="E21" t="str">
        <f xml:space="preserve">  IF(E1=0, "NO", IF(E1&gt;E20, "YES", "NO"))</f>
        <v>NO</v>
      </c>
      <c r="F21" t="s">
        <v>661</v>
      </c>
      <c r="H21" t="b">
        <f>IF(E21="YES",CONCATENATE(", use ",ROUND(E20, 0)," ml of the Slurry"))</f>
        <v>0</v>
      </c>
    </row>
    <row r="22" spans="1:15" x14ac:dyDescent="0.25">
      <c r="A22" s="224" t="s">
        <v>597</v>
      </c>
      <c r="B22" s="225"/>
      <c r="C22" s="226"/>
      <c r="D22" s="226"/>
      <c r="E22" s="226"/>
      <c r="F22" s="226"/>
      <c r="G22" s="226"/>
      <c r="H22" s="226"/>
      <c r="I22" s="226"/>
      <c r="J22" s="226"/>
      <c r="K22" s="226"/>
      <c r="L22" s="226"/>
      <c r="M22" s="226"/>
      <c r="N22" s="227"/>
    </row>
    <row r="23" spans="1:15" x14ac:dyDescent="0.25">
      <c r="A23" s="216" t="s">
        <v>577</v>
      </c>
      <c r="B23" s="167" t="str">
        <f>IF(Brewhouse!C23 &lt;&gt; "",   Brewhouse!C23, "ERROR")</f>
        <v>Stir Plate</v>
      </c>
      <c r="C23" s="217"/>
      <c r="D23" s="217" t="s">
        <v>612</v>
      </c>
      <c r="E23" s="217"/>
      <c r="F23" s="217"/>
      <c r="G23" s="217"/>
      <c r="H23" s="217"/>
      <c r="I23" s="217"/>
      <c r="J23" s="217"/>
      <c r="K23" s="217"/>
      <c r="L23" s="217"/>
      <c r="M23" s="217"/>
      <c r="N23" s="218"/>
    </row>
    <row r="24" spans="1:15" x14ac:dyDescent="0.25">
      <c r="A24" s="216" t="s">
        <v>599</v>
      </c>
      <c r="B24" s="217">
        <f>IF(B23="Periodic Shaking", (B21/15.047)^-2.232142857, IF(B23="Stir Plate", (B21/18.0564)^-2.232142857, "ERROR"))</f>
        <v>561.58533331170872</v>
      </c>
      <c r="C24" s="217" t="str">
        <f>IF(B24&gt;D8, "OK", "Too Low")</f>
        <v>OK</v>
      </c>
      <c r="D24" s="6" t="s">
        <v>596</v>
      </c>
      <c r="E24" s="217"/>
      <c r="F24" s="217"/>
      <c r="G24" s="217"/>
      <c r="H24" s="217"/>
      <c r="I24" s="217"/>
      <c r="J24" s="217"/>
      <c r="K24" s="217"/>
      <c r="L24" s="217"/>
      <c r="M24" s="217"/>
      <c r="N24" s="218"/>
    </row>
    <row r="25" spans="1:15" x14ac:dyDescent="0.25">
      <c r="A25" s="216" t="s">
        <v>600</v>
      </c>
      <c r="B25" s="228">
        <f>B7/1000000</f>
        <v>205076.15479983357</v>
      </c>
      <c r="C25" s="217"/>
      <c r="D25" t="s">
        <v>613</v>
      </c>
      <c r="E25" s="217"/>
      <c r="F25" s="217"/>
      <c r="G25" s="217"/>
      <c r="H25" s="217"/>
      <c r="I25" s="217"/>
      <c r="J25" s="217"/>
      <c r="K25" s="217"/>
      <c r="L25" s="217"/>
      <c r="M25" s="217"/>
      <c r="N25" s="218"/>
    </row>
    <row r="26" spans="1:15" x14ac:dyDescent="0.25">
      <c r="A26" s="216" t="s">
        <v>601</v>
      </c>
      <c r="B26" s="217">
        <f>B25/B24</f>
        <v>365.17363014180745</v>
      </c>
      <c r="C26" s="217"/>
      <c r="D26" s="6" t="s">
        <v>598</v>
      </c>
      <c r="E26" s="217"/>
      <c r="F26" s="217"/>
      <c r="G26" s="217"/>
      <c r="H26" s="217"/>
      <c r="I26" s="217"/>
      <c r="J26" s="217"/>
      <c r="K26" s="217"/>
      <c r="L26" s="217"/>
      <c r="M26" s="217"/>
      <c r="N26" s="298" t="s">
        <v>795</v>
      </c>
      <c r="O26" t="s">
        <v>796</v>
      </c>
    </row>
    <row r="27" spans="1:15" x14ac:dyDescent="0.25">
      <c r="A27" s="229" t="s">
        <v>602</v>
      </c>
      <c r="B27" s="230">
        <f>B26/946.353</f>
        <v>0.38587464734809046</v>
      </c>
      <c r="C27" s="8">
        <f>(37/45)*16*(B27/4)</f>
        <v>1.2690988401670531</v>
      </c>
      <c r="D27" s="8">
        <f>((B27*32)/(5*128))*2.5</f>
        <v>4.8234330918511314E-2</v>
      </c>
      <c r="E27" s="8" t="s">
        <v>626</v>
      </c>
      <c r="F27" s="8"/>
      <c r="G27" s="8"/>
      <c r="H27" s="8"/>
      <c r="I27" s="8"/>
      <c r="J27" s="8"/>
      <c r="K27" s="8"/>
      <c r="L27" s="8"/>
      <c r="M27" s="8"/>
      <c r="N27" s="301">
        <f>B27*0.946352951</f>
        <v>0.36517361123394976</v>
      </c>
      <c r="O27">
        <f>C27*28.3495231</f>
        <v>35.978346885499079</v>
      </c>
    </row>
    <row r="28" spans="1:15" x14ac:dyDescent="0.25">
      <c r="A28" s="232" t="s">
        <v>604</v>
      </c>
      <c r="B28" s="226"/>
      <c r="C28" s="226"/>
      <c r="D28" s="226"/>
      <c r="E28" s="226"/>
      <c r="F28" s="226"/>
      <c r="G28" s="226"/>
      <c r="H28" s="226"/>
      <c r="I28" s="226"/>
      <c r="J28" s="226"/>
      <c r="K28" s="226"/>
      <c r="L28" s="226"/>
      <c r="M28" s="226"/>
      <c r="N28" s="227"/>
    </row>
    <row r="29" spans="1:15" x14ac:dyDescent="0.25">
      <c r="A29" s="231" t="s">
        <v>636</v>
      </c>
      <c r="B29" s="217">
        <f>B7/(D9*1000000)</f>
        <v>2050.761547998336</v>
      </c>
      <c r="C29" s="217"/>
      <c r="D29" s="217"/>
      <c r="E29" s="217"/>
      <c r="F29" s="217"/>
      <c r="G29" s="217"/>
      <c r="H29" s="217"/>
      <c r="I29" s="217"/>
      <c r="J29" s="217"/>
      <c r="K29" s="217"/>
      <c r="L29" s="217"/>
      <c r="M29" s="217"/>
      <c r="N29" s="218"/>
    </row>
    <row r="30" spans="1:15" x14ac:dyDescent="0.25">
      <c r="A30" s="231" t="s">
        <v>603</v>
      </c>
      <c r="B30" s="233">
        <f>B29/946.353</f>
        <v>2.1670154244751547</v>
      </c>
      <c r="C30" s="8">
        <f>(37/45)*16*(B30/4)</f>
        <v>7.1270729516071754</v>
      </c>
      <c r="D30" s="8">
        <f>((B30*32)/(5*128))*2.5</f>
        <v>0.27087692805939434</v>
      </c>
      <c r="E30" s="8" t="s">
        <v>626</v>
      </c>
      <c r="F30" s="217"/>
      <c r="G30" s="217"/>
      <c r="H30" s="217"/>
      <c r="I30" s="217"/>
      <c r="J30" s="217"/>
      <c r="K30" s="217"/>
      <c r="L30" s="217"/>
      <c r="M30" s="217"/>
      <c r="N30" s="301">
        <f>B30*0.946352951</f>
        <v>2.0507614418145805</v>
      </c>
      <c r="O30">
        <f>C30*28.3495231</f>
        <v>202.04911927697279</v>
      </c>
    </row>
    <row r="31" spans="1:15" x14ac:dyDescent="0.25">
      <c r="A31" s="231" t="s">
        <v>605</v>
      </c>
      <c r="B31" s="217">
        <f>IF(B23="Periodic Shaking", 15.047*(D9^-0.448), IF(B23="Stir Plate", 18.0564*(D9^-0.448), "ERROR"))</f>
        <v>2.2941994273287509</v>
      </c>
      <c r="C31" s="217"/>
      <c r="D31" s="217"/>
      <c r="E31" s="217"/>
      <c r="F31" s="217"/>
      <c r="G31" s="217"/>
      <c r="H31" s="217"/>
      <c r="I31" s="217"/>
      <c r="J31" s="217"/>
      <c r="K31" s="217"/>
      <c r="L31" s="217"/>
      <c r="M31" s="217"/>
      <c r="N31" s="218"/>
    </row>
    <row r="32" spans="1:15" x14ac:dyDescent="0.25">
      <c r="A32" s="231" t="s">
        <v>606</v>
      </c>
      <c r="B32" s="228">
        <f>B7*B31</f>
        <v>470485596900.56049</v>
      </c>
      <c r="C32" s="217"/>
      <c r="D32" s="217"/>
      <c r="E32" s="217"/>
      <c r="F32" s="217"/>
      <c r="G32" s="217"/>
      <c r="H32" s="217"/>
      <c r="I32" s="217"/>
      <c r="J32" s="217"/>
      <c r="K32" s="217"/>
      <c r="L32" s="217"/>
      <c r="M32" s="217"/>
      <c r="N32" s="218"/>
    </row>
    <row r="33" spans="1:15" x14ac:dyDescent="0.25">
      <c r="A33" s="231" t="s">
        <v>607</v>
      </c>
      <c r="B33" s="217">
        <f>B20/B32</f>
        <v>0.4615956854401923</v>
      </c>
      <c r="C33" s="217"/>
      <c r="D33" s="217"/>
      <c r="E33" s="217"/>
      <c r="F33" s="217"/>
      <c r="G33" s="217"/>
      <c r="H33" s="217"/>
      <c r="I33" s="217"/>
      <c r="J33" s="217"/>
      <c r="K33" s="217"/>
      <c r="L33" s="217"/>
      <c r="M33" s="217"/>
      <c r="N33" s="218"/>
    </row>
    <row r="34" spans="1:15" x14ac:dyDescent="0.25">
      <c r="A34" s="231" t="s">
        <v>608</v>
      </c>
      <c r="B34" s="217">
        <f>IF(B23="Periodic Shaking",  (B33/15.047)^-2.232142857, (B33/18.0564)^-2.232142857)</f>
        <v>3584.2314021910861</v>
      </c>
      <c r="C34" s="217" t="str">
        <f>IF(B34&gt;D8, "OK", "Too Low")</f>
        <v>OK</v>
      </c>
      <c r="D34" s="217"/>
      <c r="E34" s="217"/>
      <c r="F34" s="217"/>
      <c r="G34" s="217"/>
      <c r="H34" s="217"/>
      <c r="I34" s="217"/>
      <c r="J34" s="217"/>
      <c r="K34" s="217"/>
      <c r="L34" s="217"/>
      <c r="M34" s="217"/>
      <c r="N34" s="218"/>
    </row>
    <row r="35" spans="1:15" x14ac:dyDescent="0.25">
      <c r="A35" s="231" t="s">
        <v>609</v>
      </c>
      <c r="B35" s="228">
        <f>B32/1000000</f>
        <v>470485.59690056049</v>
      </c>
      <c r="C35" s="217"/>
      <c r="D35" s="217"/>
      <c r="E35" s="217"/>
      <c r="F35" s="217"/>
      <c r="G35" s="217"/>
      <c r="H35" s="217"/>
      <c r="I35" s="217"/>
      <c r="J35" s="217"/>
      <c r="K35" s="217"/>
      <c r="L35" s="217"/>
      <c r="M35" s="217"/>
      <c r="N35" s="218"/>
    </row>
    <row r="36" spans="1:15" x14ac:dyDescent="0.25">
      <c r="A36" s="231" t="s">
        <v>610</v>
      </c>
      <c r="B36" s="217">
        <f>B35/B34</f>
        <v>131.26540786762448</v>
      </c>
      <c r="C36" s="217"/>
      <c r="D36" s="217"/>
      <c r="E36" s="217"/>
      <c r="F36" s="217"/>
      <c r="G36" s="217"/>
      <c r="H36" s="217"/>
      <c r="I36" s="217"/>
      <c r="J36" s="217"/>
      <c r="K36" s="217"/>
      <c r="L36" s="217"/>
      <c r="M36" s="217"/>
      <c r="N36" s="218"/>
    </row>
    <row r="37" spans="1:15" x14ac:dyDescent="0.25">
      <c r="A37" s="234" t="s">
        <v>611</v>
      </c>
      <c r="B37" s="230">
        <f>B36/946.353</f>
        <v>0.13870660088531919</v>
      </c>
      <c r="C37" s="8">
        <f>(37/45)*16*(B37/4)</f>
        <v>0.456190598467272</v>
      </c>
      <c r="D37" s="8">
        <f>((B37*32)/(5*128))*2.5</f>
        <v>1.7338325110664899E-2</v>
      </c>
      <c r="E37" s="8" t="s">
        <v>626</v>
      </c>
      <c r="F37" s="8"/>
      <c r="G37" s="8"/>
      <c r="H37" s="8"/>
      <c r="I37" s="8"/>
      <c r="J37" s="8"/>
      <c r="K37" s="8"/>
      <c r="L37" s="8"/>
      <c r="M37" s="8"/>
      <c r="N37" s="301">
        <f>B37*0.946352951</f>
        <v>0.13126540107100104</v>
      </c>
      <c r="O37">
        <f>C37*28.3495231</f>
        <v>12.932785909250752</v>
      </c>
    </row>
    <row r="38" spans="1:15" x14ac:dyDescent="0.25">
      <c r="A38" s="232" t="s">
        <v>614</v>
      </c>
      <c r="B38" s="226"/>
      <c r="C38" s="227"/>
    </row>
    <row r="39" spans="1:15" x14ac:dyDescent="0.25">
      <c r="A39" s="231" t="s">
        <v>636</v>
      </c>
      <c r="B39" s="217">
        <f>B7/(D9*1000000)</f>
        <v>2050.761547998336</v>
      </c>
      <c r="C39" s="218"/>
      <c r="G39" t="s">
        <v>622</v>
      </c>
      <c r="H39" t="str">
        <f>IF(Brewhouse!V17="Metric", CONCATENATE("Single Step ", B23, " Starter, ", ROUND(N27, 1), " Liters"), CONCATENATE("Single Step ", B23, " Starter, ", ROUND(B27, 1), " Quarts"))</f>
        <v>Single Step Stir Plate Starter, 0.4 Quarts</v>
      </c>
    </row>
    <row r="40" spans="1:15" x14ac:dyDescent="0.25">
      <c r="A40" s="231" t="s">
        <v>603</v>
      </c>
      <c r="B40" s="233">
        <f>B39/946.353</f>
        <v>2.1670154244751547</v>
      </c>
      <c r="C40" s="8">
        <f>(37/45)*16*(B40/4)</f>
        <v>7.1270729516071754</v>
      </c>
      <c r="D40" s="8">
        <f>((B40*32)/(5*128))*2.5</f>
        <v>0.27087692805939434</v>
      </c>
      <c r="E40" s="8" t="s">
        <v>626</v>
      </c>
      <c r="G40" t="s">
        <v>623</v>
      </c>
      <c r="H40" t="str">
        <f>IF(Brewhouse!V17="Metric", CONCATENATE("2 Step ", B23, " Starter, ", ROUND(N30, 1), " Liters and ", ROUND(N37, 1), " Liters"), CONCATENATE("2 Step ", B23, " Starter, ", ROUND(B30, 1), " Quarts and ", ROUND(B37, 1), " Quarts"))</f>
        <v>2 Step Stir Plate Starter, 2.2 Quarts and 0.1 Quarts</v>
      </c>
      <c r="N40" s="301">
        <f>B40*0.946352951</f>
        <v>2.0507614418145805</v>
      </c>
      <c r="O40">
        <f>C40*28.3495231</f>
        <v>202.04911927697279</v>
      </c>
    </row>
    <row r="41" spans="1:15" x14ac:dyDescent="0.25">
      <c r="A41" s="231" t="s">
        <v>605</v>
      </c>
      <c r="B41" s="217">
        <f>IF(B23="Periodic Shaking", 15.047*(D9^-0.448), IF(B23="Stir Plate", 18.0564*(D9^-0.448), "ERROR"))</f>
        <v>2.2941994273287509</v>
      </c>
      <c r="C41" s="218"/>
      <c r="G41" t="s">
        <v>624</v>
      </c>
      <c r="H41" t="str">
        <f>IF(Brewhouse!V17="Metric", CONCATENATE("3 Step ", B23, " Starter, ", ROUND(N40, 1), " Liters, ", ROUND(N44, 1), " Liters, and ",ROUND(N51, 1), " Liters"), CONCATENATE("3 Step ", B23, " Starter, ", ROUND(B40, 1), " Quarts, ", ROUND(B44, 1), " Quarts, and ",ROUND(B51, 1), " Quarts"))</f>
        <v>3 Step Stir Plate Starter, 2.2 Quarts, 5 Quarts, and 0 Quarts</v>
      </c>
    </row>
    <row r="42" spans="1:15" x14ac:dyDescent="0.25">
      <c r="A42" s="231" t="s">
        <v>606</v>
      </c>
      <c r="B42" s="228">
        <f>B7*B41</f>
        <v>470485596900.56049</v>
      </c>
      <c r="C42" s="218"/>
    </row>
    <row r="43" spans="1:15" x14ac:dyDescent="0.25">
      <c r="A43" s="231" t="s">
        <v>636</v>
      </c>
      <c r="B43" s="217">
        <f>B42/(D9*1000000)</f>
        <v>4704.8559690056045</v>
      </c>
      <c r="C43" s="218"/>
      <c r="G43" s="235" t="s">
        <v>621</v>
      </c>
      <c r="H43" s="235" t="str">
        <f>IF(C24="OK", "Single",  IF(C34="OK", "Double", IF(C48="OK", "Triple", "Error")))</f>
        <v>Single</v>
      </c>
    </row>
    <row r="44" spans="1:15" x14ac:dyDescent="0.25">
      <c r="A44" s="231" t="s">
        <v>615</v>
      </c>
      <c r="B44" s="233">
        <f>B43/946.353</f>
        <v>4.9715655458434691</v>
      </c>
      <c r="C44" s="8">
        <f>(37/45)*16*(B44/4)</f>
        <v>16.35092668410741</v>
      </c>
      <c r="D44" s="8">
        <f>((B44*32)/(5*128))*2.5</f>
        <v>0.62144569323043364</v>
      </c>
      <c r="E44" s="8" t="s">
        <v>626</v>
      </c>
      <c r="G44" s="1" t="s">
        <v>625</v>
      </c>
      <c r="H44" s="235" t="str">
        <f>CONCATENATE(IF(B21&lt;=1,"No Starter Needed",IF(H43="Single",H39,IF(H43="Double",H40,IF(H43="Triple",H41,"ERROR")))),            IF(E21="YES", H21, "")                       )</f>
        <v>Single Step Stir Plate Starter, 0.4 Quarts</v>
      </c>
      <c r="N44" s="301">
        <f>B44*0.946352951</f>
        <v>4.7048557253988932</v>
      </c>
      <c r="O44">
        <f>C44*28.3495231</f>
        <v>463.54097373750943</v>
      </c>
    </row>
    <row r="45" spans="1:15" x14ac:dyDescent="0.25">
      <c r="A45" s="231" t="s">
        <v>616</v>
      </c>
      <c r="B45" s="217">
        <f>IF(B23="Periodic Shaking", 15.047*(D9^-0.448), 18.0564*(D9^-0.448))</f>
        <v>2.2941994273287509</v>
      </c>
      <c r="C45" s="218"/>
    </row>
    <row r="46" spans="1:15" x14ac:dyDescent="0.25">
      <c r="A46" s="231" t="s">
        <v>617</v>
      </c>
      <c r="B46" s="228">
        <f>B42*B45</f>
        <v>1079387786975.6914</v>
      </c>
      <c r="C46" s="218"/>
      <c r="E46" s="1" t="s">
        <v>627</v>
      </c>
      <c r="F46" t="str">
        <f>IF(Brewhouse!V17="Metric", CONCATENATE(ROUND(O27, 1), " Grams DME and ", ROUND(D27, 3), " grams Wyeast Yeast Nutrient"), CONCATENATE(ROUND(C27, 1), " Ounces DME and ", ROUND(D27, 3), " grams Wyeast Yeast Nutrient"))</f>
        <v>1.3 Ounces DME and 0.048 grams Wyeast Yeast Nutrient</v>
      </c>
    </row>
    <row r="47" spans="1:15" x14ac:dyDescent="0.25">
      <c r="A47" s="231" t="s">
        <v>618</v>
      </c>
      <c r="B47" s="217">
        <f>B20/B46</f>
        <v>0.20120120332243779</v>
      </c>
      <c r="C47" s="218"/>
      <c r="E47" s="1" t="s">
        <v>628</v>
      </c>
      <c r="F47" t="str">
        <f>IF(Brewhouse!V17="Metric", CONCATENATE(ROUND(O30, 1), "/", ROUND(O37, 1), " Grams DME, ", "and ", ROUND(D30,3), "/", ROUND(D37,3), " Grams Wyeast Yeast Nutrient"), CONCATENATE(ROUND(C30, 1), "/", ROUND(C37, 1), " Ounces DME, ", "and ", ROUND(D30,3), "/", ROUND(D37,3), " Grams Wyeast Yeast Nutrient"))</f>
        <v>7.1/0.5 Ounces DME, and 0.271/0.017 Grams Wyeast Yeast Nutrient</v>
      </c>
    </row>
    <row r="48" spans="1:15" x14ac:dyDescent="0.25">
      <c r="A48" s="231" t="s">
        <v>620</v>
      </c>
      <c r="B48" s="217">
        <f>IF(B23="Periodic Shaking",  (B47/15.047)^-2.232142857, (B47/18.0564)^-2.232142857)</f>
        <v>22875.801739149178</v>
      </c>
      <c r="C48" s="218" t="str">
        <f>IF(B48&gt;D8, "OK", "Too Low")</f>
        <v>OK</v>
      </c>
      <c r="E48" s="1" t="s">
        <v>629</v>
      </c>
      <c r="F48" t="str">
        <f>IF(Brewhouse!V17="Metric", CONCATENATE(ROUND(O40, 1), "/", ROUND(O44, 1), "/", ROUND(O51, 1), " Grams DME, ", "and ", ROUND(D40,3), "/", ROUND(D44,3), "/", ROUND(D51,3),  " Grams Wyeast Yeast Nutrient"), CONCATENATE(ROUND(C40, 1), "/", ROUND(C44, 1), "/", ROUND(C51, 1), " Ounces DME, ", "and ", ROUND(D40,3), "/", ROUND(D44,3), "/", ROUND(D51,3),  " Grams Wyeast Yeast Nutrient"))</f>
        <v>7.1/16.4/0.2 Ounces DME, and 0.271/0.621/0.006 Grams Wyeast Yeast Nutrient</v>
      </c>
    </row>
    <row r="49" spans="1:15" x14ac:dyDescent="0.25">
      <c r="A49" s="231" t="s">
        <v>609</v>
      </c>
      <c r="B49" s="228">
        <f>B46/1000000</f>
        <v>1079387.7869756913</v>
      </c>
      <c r="C49" s="218"/>
      <c r="E49" s="1" t="s">
        <v>630</v>
      </c>
      <c r="F49" s="235" t="str">
        <f>IF(B21&lt;=1, " ", IF(H43="Single", F46, IF(H43="Double", F47, IF(H43="Triple", F48, "ERROR"))))</f>
        <v>1.3 Ounces DME and 0.048 grams Wyeast Yeast Nutrient</v>
      </c>
    </row>
    <row r="50" spans="1:15" x14ac:dyDescent="0.25">
      <c r="A50" s="231" t="s">
        <v>619</v>
      </c>
      <c r="B50" s="217">
        <f>B49/B48</f>
        <v>47.184697580607597</v>
      </c>
      <c r="C50" s="218"/>
      <c r="N50" s="301"/>
    </row>
    <row r="51" spans="1:15" x14ac:dyDescent="0.25">
      <c r="A51" s="234" t="s">
        <v>611</v>
      </c>
      <c r="B51" s="230">
        <f>B50/946.353</f>
        <v>4.9859510754028995E-2</v>
      </c>
      <c r="C51" s="8">
        <f>(37/45)*16*(B51/4)</f>
        <v>0.16398239092436201</v>
      </c>
      <c r="D51" s="8">
        <f>((B51*32)/(5*128))*2.5</f>
        <v>6.2324388442536252E-3</v>
      </c>
      <c r="E51" s="8" t="s">
        <v>626</v>
      </c>
      <c r="N51" s="301">
        <f>B51*0.946352951</f>
        <v>4.7184695137491579E-2</v>
      </c>
      <c r="O51">
        <f>C51*28.3495231</f>
        <v>4.648822579503431</v>
      </c>
    </row>
    <row r="53" spans="1:15" x14ac:dyDescent="0.25">
      <c r="A53" t="s">
        <v>641</v>
      </c>
    </row>
    <row r="55" spans="1:15" x14ac:dyDescent="0.25">
      <c r="A55" s="239">
        <v>1</v>
      </c>
    </row>
    <row r="56" spans="1:15" x14ac:dyDescent="0.25">
      <c r="A56" s="239">
        <v>0.99</v>
      </c>
    </row>
    <row r="57" spans="1:15" x14ac:dyDescent="0.25">
      <c r="A57" s="239">
        <v>0.98</v>
      </c>
    </row>
    <row r="58" spans="1:15" x14ac:dyDescent="0.25">
      <c r="A58" s="239">
        <v>0.97</v>
      </c>
    </row>
    <row r="59" spans="1:15" x14ac:dyDescent="0.25">
      <c r="A59" s="239">
        <v>0.96</v>
      </c>
    </row>
    <row r="60" spans="1:15" x14ac:dyDescent="0.25">
      <c r="A60" s="239">
        <v>0.95</v>
      </c>
    </row>
    <row r="61" spans="1:15" x14ac:dyDescent="0.25">
      <c r="A61" s="239">
        <v>0.94</v>
      </c>
    </row>
    <row r="62" spans="1:15" x14ac:dyDescent="0.25">
      <c r="A62" s="239">
        <v>0.92999999999999994</v>
      </c>
    </row>
    <row r="63" spans="1:15" x14ac:dyDescent="0.25">
      <c r="A63" s="239">
        <v>0.91999999999999993</v>
      </c>
    </row>
    <row r="64" spans="1:15" x14ac:dyDescent="0.25">
      <c r="A64" s="239">
        <v>0.90999999999999992</v>
      </c>
    </row>
    <row r="65" spans="1:1" x14ac:dyDescent="0.25">
      <c r="A65" s="239">
        <v>0.89999999999999991</v>
      </c>
    </row>
    <row r="66" spans="1:1" x14ac:dyDescent="0.25">
      <c r="A66" s="239">
        <v>0.8899999999999999</v>
      </c>
    </row>
    <row r="67" spans="1:1" x14ac:dyDescent="0.25">
      <c r="A67" s="239">
        <v>0.87999999999999989</v>
      </c>
    </row>
    <row r="68" spans="1:1" x14ac:dyDescent="0.25">
      <c r="A68" s="239">
        <v>0.86999999999999988</v>
      </c>
    </row>
    <row r="69" spans="1:1" x14ac:dyDescent="0.25">
      <c r="A69" s="239">
        <v>0.85999999999999988</v>
      </c>
    </row>
    <row r="70" spans="1:1" x14ac:dyDescent="0.25">
      <c r="A70" s="239">
        <v>0.84999999999999987</v>
      </c>
    </row>
    <row r="71" spans="1:1" x14ac:dyDescent="0.25">
      <c r="A71" s="239">
        <v>0.83999999999999986</v>
      </c>
    </row>
    <row r="72" spans="1:1" x14ac:dyDescent="0.25">
      <c r="A72" s="239">
        <v>0.82999999999999985</v>
      </c>
    </row>
    <row r="73" spans="1:1" x14ac:dyDescent="0.25">
      <c r="A73" s="239">
        <v>0.81999999999999984</v>
      </c>
    </row>
    <row r="74" spans="1:1" x14ac:dyDescent="0.25">
      <c r="A74" s="239">
        <v>0.80999999999999983</v>
      </c>
    </row>
    <row r="75" spans="1:1" x14ac:dyDescent="0.25">
      <c r="A75" s="239">
        <v>0.79999999999999982</v>
      </c>
    </row>
    <row r="76" spans="1:1" x14ac:dyDescent="0.25">
      <c r="A76" s="239">
        <v>0.78999999999999981</v>
      </c>
    </row>
    <row r="77" spans="1:1" x14ac:dyDescent="0.25">
      <c r="A77" s="239">
        <v>0.7799999999999998</v>
      </c>
    </row>
    <row r="78" spans="1:1" x14ac:dyDescent="0.25">
      <c r="A78" s="239">
        <v>0.7699999999999998</v>
      </c>
    </row>
    <row r="79" spans="1:1" x14ac:dyDescent="0.25">
      <c r="A79" s="239">
        <v>0.75999999999999979</v>
      </c>
    </row>
    <row r="80" spans="1:1" x14ac:dyDescent="0.25">
      <c r="A80" s="239">
        <v>0.74999999999999978</v>
      </c>
    </row>
    <row r="81" spans="1:1" x14ac:dyDescent="0.25">
      <c r="A81" s="239">
        <v>0.73999999999999977</v>
      </c>
    </row>
    <row r="82" spans="1:1" x14ac:dyDescent="0.25">
      <c r="A82" s="239">
        <v>0.72999999999999976</v>
      </c>
    </row>
    <row r="83" spans="1:1" x14ac:dyDescent="0.25">
      <c r="A83" s="239">
        <v>0.71999999999999975</v>
      </c>
    </row>
    <row r="84" spans="1:1" x14ac:dyDescent="0.25">
      <c r="A84" s="239">
        <v>0.70999999999999974</v>
      </c>
    </row>
    <row r="85" spans="1:1" x14ac:dyDescent="0.25">
      <c r="A85" s="239">
        <v>0.69999999999999973</v>
      </c>
    </row>
    <row r="86" spans="1:1" x14ac:dyDescent="0.25">
      <c r="A86" s="239">
        <v>0.68999999999999972</v>
      </c>
    </row>
    <row r="87" spans="1:1" x14ac:dyDescent="0.25">
      <c r="A87" s="239">
        <v>0.67999999999999972</v>
      </c>
    </row>
    <row r="88" spans="1:1" x14ac:dyDescent="0.25">
      <c r="A88" s="239">
        <v>0.66999999999999971</v>
      </c>
    </row>
    <row r="89" spans="1:1" x14ac:dyDescent="0.25">
      <c r="A89" s="239">
        <v>0.6599999999999997</v>
      </c>
    </row>
    <row r="90" spans="1:1" x14ac:dyDescent="0.25">
      <c r="A90" s="239">
        <v>0.64999999999999969</v>
      </c>
    </row>
    <row r="91" spans="1:1" x14ac:dyDescent="0.25">
      <c r="A91" s="239">
        <v>0.63999999999999968</v>
      </c>
    </row>
    <row r="92" spans="1:1" x14ac:dyDescent="0.25">
      <c r="A92" s="239">
        <v>0.62999999999999967</v>
      </c>
    </row>
    <row r="93" spans="1:1" x14ac:dyDescent="0.25">
      <c r="A93" s="239">
        <v>0.61999999999999966</v>
      </c>
    </row>
    <row r="94" spans="1:1" x14ac:dyDescent="0.25">
      <c r="A94" s="239">
        <v>0.60999999999999965</v>
      </c>
    </row>
    <row r="95" spans="1:1" x14ac:dyDescent="0.25">
      <c r="A95" s="239">
        <v>0.59999999999999964</v>
      </c>
    </row>
    <row r="96" spans="1:1" x14ac:dyDescent="0.25">
      <c r="A96" s="239">
        <v>0.58999999999999964</v>
      </c>
    </row>
    <row r="97" spans="1:1" x14ac:dyDescent="0.25">
      <c r="A97" s="239">
        <v>0.57999999999999963</v>
      </c>
    </row>
    <row r="98" spans="1:1" x14ac:dyDescent="0.25">
      <c r="A98" s="239">
        <v>0.56999999999999962</v>
      </c>
    </row>
    <row r="99" spans="1:1" x14ac:dyDescent="0.25">
      <c r="A99" s="239">
        <v>0.55999999999999961</v>
      </c>
    </row>
    <row r="100" spans="1:1" x14ac:dyDescent="0.25">
      <c r="A100" s="239">
        <v>0.5499999999999996</v>
      </c>
    </row>
    <row r="101" spans="1:1" x14ac:dyDescent="0.25">
      <c r="A101" s="239">
        <v>0.53999999999999959</v>
      </c>
    </row>
    <row r="102" spans="1:1" x14ac:dyDescent="0.25">
      <c r="A102" s="239">
        <v>0.52999999999999958</v>
      </c>
    </row>
    <row r="103" spans="1:1" x14ac:dyDescent="0.25">
      <c r="A103" s="239">
        <v>0.51999999999999957</v>
      </c>
    </row>
    <row r="104" spans="1:1" x14ac:dyDescent="0.25">
      <c r="A104" s="239">
        <v>0.50999999999999956</v>
      </c>
    </row>
    <row r="105" spans="1:1" x14ac:dyDescent="0.25">
      <c r="A105" s="239">
        <v>0.49999999999999956</v>
      </c>
    </row>
    <row r="106" spans="1:1" x14ac:dyDescent="0.25">
      <c r="A106" s="239">
        <v>0.48999999999999955</v>
      </c>
    </row>
    <row r="107" spans="1:1" x14ac:dyDescent="0.25">
      <c r="A107" s="239">
        <v>0.47999999999999954</v>
      </c>
    </row>
    <row r="108" spans="1:1" x14ac:dyDescent="0.25">
      <c r="A108" s="239">
        <v>0.46999999999999953</v>
      </c>
    </row>
    <row r="109" spans="1:1" x14ac:dyDescent="0.25">
      <c r="A109" s="239">
        <v>0.45999999999999952</v>
      </c>
    </row>
    <row r="110" spans="1:1" x14ac:dyDescent="0.25">
      <c r="A110" s="239">
        <v>0.44999999999999951</v>
      </c>
    </row>
    <row r="111" spans="1:1" x14ac:dyDescent="0.25">
      <c r="A111" s="239">
        <v>0.4399999999999995</v>
      </c>
    </row>
    <row r="112" spans="1:1" x14ac:dyDescent="0.25">
      <c r="A112" s="239">
        <v>0.42999999999999949</v>
      </c>
    </row>
    <row r="113" spans="1:1" x14ac:dyDescent="0.25">
      <c r="A113" s="239">
        <v>0.41999999999999948</v>
      </c>
    </row>
    <row r="114" spans="1:1" x14ac:dyDescent="0.25">
      <c r="A114" s="239">
        <v>0.40999999999999948</v>
      </c>
    </row>
    <row r="115" spans="1:1" x14ac:dyDescent="0.25">
      <c r="A115" s="239">
        <v>0.39999999999999947</v>
      </c>
    </row>
    <row r="116" spans="1:1" x14ac:dyDescent="0.25">
      <c r="A116" s="239">
        <v>0.38999999999999946</v>
      </c>
    </row>
    <row r="117" spans="1:1" x14ac:dyDescent="0.25">
      <c r="A117" s="239">
        <v>0.37999999999999945</v>
      </c>
    </row>
    <row r="118" spans="1:1" x14ac:dyDescent="0.25">
      <c r="A118" s="239">
        <v>0.36999999999999944</v>
      </c>
    </row>
    <row r="119" spans="1:1" x14ac:dyDescent="0.25">
      <c r="A119" s="239">
        <v>0.35999999999999943</v>
      </c>
    </row>
    <row r="120" spans="1:1" x14ac:dyDescent="0.25">
      <c r="A120" s="239">
        <v>0.34999999999999942</v>
      </c>
    </row>
    <row r="121" spans="1:1" x14ac:dyDescent="0.25">
      <c r="A121" s="239">
        <v>0.33999999999999941</v>
      </c>
    </row>
    <row r="122" spans="1:1" x14ac:dyDescent="0.25">
      <c r="A122" s="239">
        <v>0.3299999999999994</v>
      </c>
    </row>
    <row r="123" spans="1:1" x14ac:dyDescent="0.25">
      <c r="A123" s="239">
        <v>0.3199999999999994</v>
      </c>
    </row>
    <row r="124" spans="1:1" x14ac:dyDescent="0.25">
      <c r="A124" s="239">
        <v>0.30999999999999939</v>
      </c>
    </row>
    <row r="125" spans="1:1" x14ac:dyDescent="0.25">
      <c r="A125" s="239">
        <v>0.29999999999999938</v>
      </c>
    </row>
    <row r="126" spans="1:1" x14ac:dyDescent="0.25">
      <c r="A126" s="239">
        <v>0.28999999999999937</v>
      </c>
    </row>
    <row r="127" spans="1:1" x14ac:dyDescent="0.25">
      <c r="A127" s="239">
        <v>0.27999999999999936</v>
      </c>
    </row>
    <row r="128" spans="1:1" x14ac:dyDescent="0.25">
      <c r="A128" s="239">
        <v>0.26999999999999935</v>
      </c>
    </row>
    <row r="129" spans="1:1" x14ac:dyDescent="0.25">
      <c r="A129" s="239">
        <v>0.25999999999999934</v>
      </c>
    </row>
    <row r="130" spans="1:1" x14ac:dyDescent="0.25">
      <c r="A130" s="239">
        <v>0.24999999999999933</v>
      </c>
    </row>
    <row r="131" spans="1:1" x14ac:dyDescent="0.25">
      <c r="A131" s="239">
        <v>0.23999999999999932</v>
      </c>
    </row>
    <row r="132" spans="1:1" x14ac:dyDescent="0.25">
      <c r="A132" s="239">
        <v>0.22999999999999932</v>
      </c>
    </row>
    <row r="133" spans="1:1" x14ac:dyDescent="0.25">
      <c r="A133" s="239">
        <v>0.21999999999999931</v>
      </c>
    </row>
    <row r="134" spans="1:1" x14ac:dyDescent="0.25">
      <c r="A134" s="239">
        <v>0.2099999999999993</v>
      </c>
    </row>
    <row r="135" spans="1:1" x14ac:dyDescent="0.25">
      <c r="A135" s="239">
        <v>0.19999999999999929</v>
      </c>
    </row>
    <row r="136" spans="1:1" x14ac:dyDescent="0.25">
      <c r="A136" s="239">
        <v>0.18999999999999928</v>
      </c>
    </row>
    <row r="137" spans="1:1" x14ac:dyDescent="0.25">
      <c r="A137" s="239">
        <v>0.17999999999999927</v>
      </c>
    </row>
    <row r="138" spans="1:1" x14ac:dyDescent="0.25">
      <c r="A138" s="239">
        <v>0.16999999999999926</v>
      </c>
    </row>
    <row r="139" spans="1:1" x14ac:dyDescent="0.25">
      <c r="A139" s="239">
        <v>0.15999999999999925</v>
      </c>
    </row>
    <row r="140" spans="1:1" x14ac:dyDescent="0.25">
      <c r="A140" s="239">
        <v>0.14999999999999925</v>
      </c>
    </row>
    <row r="141" spans="1:1" x14ac:dyDescent="0.25">
      <c r="A141" s="239">
        <v>0.13999999999999924</v>
      </c>
    </row>
    <row r="142" spans="1:1" x14ac:dyDescent="0.25">
      <c r="A142" s="239">
        <v>0.12999999999999923</v>
      </c>
    </row>
    <row r="143" spans="1:1" x14ac:dyDescent="0.25">
      <c r="A143" s="239">
        <v>0.11999999999999923</v>
      </c>
    </row>
    <row r="144" spans="1:1" x14ac:dyDescent="0.25">
      <c r="A144" s="239">
        <v>0.10999999999999924</v>
      </c>
    </row>
    <row r="145" spans="1:1" x14ac:dyDescent="0.25">
      <c r="A145" s="239">
        <v>9.9999999999999242E-2</v>
      </c>
    </row>
    <row r="146" spans="1:1" x14ac:dyDescent="0.25">
      <c r="A146" s="239">
        <v>8.9999999999999247E-2</v>
      </c>
    </row>
    <row r="147" spans="1:1" x14ac:dyDescent="0.25">
      <c r="A147" s="239">
        <v>7.9999999999999252E-2</v>
      </c>
    </row>
    <row r="148" spans="1:1" x14ac:dyDescent="0.25">
      <c r="A148" s="239">
        <v>6.9999999999999257E-2</v>
      </c>
    </row>
    <row r="149" spans="1:1" x14ac:dyDescent="0.25">
      <c r="A149" s="239">
        <v>5.9999999999999255E-2</v>
      </c>
    </row>
    <row r="150" spans="1:1" x14ac:dyDescent="0.25">
      <c r="A150" s="239">
        <v>4.9999999999999253E-2</v>
      </c>
    </row>
    <row r="151" spans="1:1" x14ac:dyDescent="0.25">
      <c r="A151" s="239">
        <v>3.9999999999999251E-2</v>
      </c>
    </row>
    <row r="152" spans="1:1" x14ac:dyDescent="0.25">
      <c r="A152" s="239">
        <v>2.9999999999999249E-2</v>
      </c>
    </row>
    <row r="153" spans="1:1" x14ac:dyDescent="0.25">
      <c r="A153" s="239">
        <v>1.9999999999999248E-2</v>
      </c>
    </row>
    <row r="154" spans="1:1" x14ac:dyDescent="0.25">
      <c r="A154" s="239">
        <v>9.9999999999992473E-3</v>
      </c>
    </row>
  </sheetData>
  <sheetProtection password="CB17" sheet="1"/>
  <pageMargins left="0.7" right="0.7" top="0.75" bottom="0.75" header="0.3" footer="0.3"/>
  <pageSetup orientation="portrait" horizontalDpi="0" verticalDpi="0"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B1:H32"/>
  <sheetViews>
    <sheetView workbookViewId="0">
      <selection activeCell="C4" sqref="C4"/>
    </sheetView>
  </sheetViews>
  <sheetFormatPr defaultRowHeight="15" x14ac:dyDescent="0.25"/>
  <cols>
    <col min="2" max="2" width="40.42578125" bestFit="1" customWidth="1"/>
    <col min="3" max="3" width="14.140625" customWidth="1"/>
    <col min="5" max="5" width="17" bestFit="1" customWidth="1"/>
  </cols>
  <sheetData>
    <row r="1" spans="2:8" x14ac:dyDescent="0.25">
      <c r="C1" s="254"/>
      <c r="H1" s="155"/>
    </row>
    <row r="2" spans="2:8" x14ac:dyDescent="0.25">
      <c r="B2" s="824" t="s">
        <v>707</v>
      </c>
      <c r="C2" s="825"/>
      <c r="D2" s="66"/>
      <c r="E2" s="824" t="s">
        <v>708</v>
      </c>
      <c r="F2" s="828"/>
      <c r="G2" s="828"/>
      <c r="H2" s="825"/>
    </row>
    <row r="3" spans="2:8" x14ac:dyDescent="0.25">
      <c r="B3" s="826"/>
      <c r="C3" s="827"/>
      <c r="D3" s="66"/>
      <c r="E3" s="826"/>
      <c r="F3" s="829"/>
      <c r="G3" s="829"/>
      <c r="H3" s="827"/>
    </row>
    <row r="4" spans="2:8" x14ac:dyDescent="0.25">
      <c r="B4" s="261" t="s">
        <v>709</v>
      </c>
      <c r="C4" s="279">
        <f>IF(Brewhouse!V17="Metric",  (Water!W4+Brewhouse!C8)*0.264172051, (Water!W4+Brewhouse!C8))</f>
        <v>3.8610884999999997</v>
      </c>
      <c r="D4" s="66"/>
      <c r="E4" s="262" t="s">
        <v>710</v>
      </c>
      <c r="F4" s="66"/>
      <c r="G4" s="66"/>
      <c r="H4" s="263"/>
    </row>
    <row r="5" spans="2:8" x14ac:dyDescent="0.25">
      <c r="B5" s="264" t="s">
        <v>711</v>
      </c>
      <c r="C5" s="265" t="s">
        <v>732</v>
      </c>
      <c r="D5" s="66"/>
      <c r="E5" s="264" t="s">
        <v>712</v>
      </c>
      <c r="F5" s="266">
        <v>4.4350000000000002E-7</v>
      </c>
      <c r="G5" s="264" t="s">
        <v>713</v>
      </c>
      <c r="H5" s="267">
        <f>-LOG(F5)</f>
        <v>6.3531063758322546</v>
      </c>
    </row>
    <row r="6" spans="2:8" x14ac:dyDescent="0.25">
      <c r="B6" s="264" t="s">
        <v>714</v>
      </c>
      <c r="C6" s="268">
        <f>Kettle_Chem!I15/1000</f>
        <v>7.0473318473842923E-4</v>
      </c>
      <c r="D6" s="66"/>
      <c r="E6" s="264" t="s">
        <v>715</v>
      </c>
      <c r="F6" s="266">
        <v>4.6669999999999999E-11</v>
      </c>
      <c r="G6" s="264" t="s">
        <v>716</v>
      </c>
      <c r="H6" s="267">
        <f t="shared" ref="H6:H11" si="0">-LOG(F6)</f>
        <v>10.330962199114843</v>
      </c>
    </row>
    <row r="7" spans="2:8" x14ac:dyDescent="0.25">
      <c r="B7" s="264" t="s">
        <v>717</v>
      </c>
      <c r="C7" s="269">
        <f>Water!O4</f>
        <v>7.9</v>
      </c>
      <c r="D7" s="66"/>
      <c r="E7" s="262" t="s">
        <v>718</v>
      </c>
      <c r="F7" s="270"/>
      <c r="G7" s="85"/>
      <c r="H7" s="263"/>
    </row>
    <row r="8" spans="2:8" x14ac:dyDescent="0.25">
      <c r="B8" s="66"/>
      <c r="C8" s="255"/>
      <c r="D8" s="66"/>
      <c r="E8" s="264" t="s">
        <v>712</v>
      </c>
      <c r="F8" s="271">
        <f>10^-3.86</f>
        <v>1.3803842646028844E-4</v>
      </c>
      <c r="G8" s="264" t="s">
        <v>713</v>
      </c>
      <c r="H8" s="267">
        <f t="shared" si="0"/>
        <v>3.8600000000000003</v>
      </c>
    </row>
    <row r="9" spans="2:8" x14ac:dyDescent="0.25">
      <c r="B9" s="264" t="s">
        <v>719</v>
      </c>
      <c r="C9" s="268">
        <f xml:space="preserve"> C6 * ( 1+F5*10^C7 + F5*F6*10^(2*C7)  ) / (  F5*10^C7  )</f>
        <v>7.2735037865703811E-4</v>
      </c>
      <c r="D9" s="66"/>
      <c r="E9" s="262" t="s">
        <v>720</v>
      </c>
      <c r="F9" s="66"/>
      <c r="G9" s="85"/>
      <c r="H9" s="263"/>
    </row>
    <row r="10" spans="2:8" x14ac:dyDescent="0.25">
      <c r="B10" s="264" t="s">
        <v>721</v>
      </c>
      <c r="C10" s="268">
        <f>C6 * F6 * 10^C7</f>
        <v>2.6125374405517232E-6</v>
      </c>
      <c r="D10" s="66"/>
      <c r="E10" s="264" t="s">
        <v>712</v>
      </c>
      <c r="F10" s="266">
        <v>7.5199999999999998E-3</v>
      </c>
      <c r="G10" s="264" t="s">
        <v>713</v>
      </c>
      <c r="H10" s="267">
        <f t="shared" si="0"/>
        <v>2.1237821594083579</v>
      </c>
    </row>
    <row r="11" spans="2:8" x14ac:dyDescent="0.25">
      <c r="B11" s="264" t="s">
        <v>722</v>
      </c>
      <c r="C11" s="268">
        <f>C6 + 2*C10 +10^(C7-14) - 10^(-C7)</f>
        <v>7.1073999860013905E-4</v>
      </c>
      <c r="D11" s="66"/>
      <c r="E11" s="264" t="s">
        <v>715</v>
      </c>
      <c r="F11" s="266">
        <v>6.2299999999999995E-8</v>
      </c>
      <c r="G11" s="264" t="s">
        <v>716</v>
      </c>
      <c r="H11" s="267">
        <f t="shared" si="0"/>
        <v>7.2055119533408307</v>
      </c>
    </row>
    <row r="12" spans="2:8" x14ac:dyDescent="0.25">
      <c r="B12" s="66"/>
      <c r="C12" s="255"/>
      <c r="D12" s="66"/>
      <c r="E12" s="66"/>
      <c r="F12" s="66"/>
      <c r="G12" s="66"/>
      <c r="H12" s="263"/>
    </row>
    <row r="13" spans="2:8" x14ac:dyDescent="0.25">
      <c r="B13" s="824" t="s">
        <v>723</v>
      </c>
      <c r="C13" s="825"/>
      <c r="D13" s="85"/>
      <c r="E13" s="830" t="s">
        <v>724</v>
      </c>
      <c r="F13" s="831"/>
      <c r="G13" s="831"/>
      <c r="H13" s="832"/>
    </row>
    <row r="14" spans="2:8" x14ac:dyDescent="0.25">
      <c r="B14" s="826"/>
      <c r="C14" s="827"/>
      <c r="D14" s="66"/>
      <c r="E14" s="833"/>
      <c r="F14" s="834"/>
      <c r="G14" s="834"/>
      <c r="H14" s="835"/>
    </row>
    <row r="15" spans="2:8" x14ac:dyDescent="0.25">
      <c r="B15" s="264" t="s">
        <v>725</v>
      </c>
      <c r="C15" s="269">
        <f>Water!AC30</f>
        <v>5.42</v>
      </c>
      <c r="D15" s="66"/>
      <c r="E15" s="833"/>
      <c r="F15" s="834"/>
      <c r="G15" s="834"/>
      <c r="H15" s="835"/>
    </row>
    <row r="16" spans="2:8" x14ac:dyDescent="0.25">
      <c r="B16" s="264" t="s">
        <v>726</v>
      </c>
      <c r="C16" s="268">
        <f>C11 + 10^(-C15) - 10^(C15-14) - C9*(F5*10^C15 + 2*F5*F6*10^(2*C15)) / (1+F5*10^C15+F5*F6*10^(2*C15))</f>
        <v>6.3855399409943031E-4</v>
      </c>
      <c r="D16" s="66"/>
      <c r="E16" s="833"/>
      <c r="F16" s="834"/>
      <c r="G16" s="834"/>
      <c r="H16" s="835"/>
    </row>
    <row r="17" spans="2:8" x14ac:dyDescent="0.25">
      <c r="B17" s="264" t="s">
        <v>727</v>
      </c>
      <c r="C17" s="268">
        <f>0.9*C6</f>
        <v>6.3425986626458629E-4</v>
      </c>
      <c r="D17" s="66"/>
      <c r="E17" s="833"/>
      <c r="F17" s="834"/>
      <c r="G17" s="834"/>
      <c r="H17" s="835"/>
    </row>
    <row r="18" spans="2:8" x14ac:dyDescent="0.25">
      <c r="B18" s="66"/>
      <c r="C18" s="255"/>
      <c r="D18" s="66"/>
      <c r="E18" s="833"/>
      <c r="F18" s="834"/>
      <c r="G18" s="834"/>
      <c r="H18" s="835"/>
    </row>
    <row r="19" spans="2:8" x14ac:dyDescent="0.25">
      <c r="B19" s="839" t="s">
        <v>718</v>
      </c>
      <c r="C19" s="839"/>
      <c r="D19" s="66"/>
      <c r="E19" s="833"/>
      <c r="F19" s="834"/>
      <c r="G19" s="834"/>
      <c r="H19" s="835"/>
    </row>
    <row r="20" spans="2:8" x14ac:dyDescent="0.25">
      <c r="B20" s="839"/>
      <c r="C20" s="839"/>
      <c r="D20" s="66"/>
      <c r="E20" s="833"/>
      <c r="F20" s="834"/>
      <c r="G20" s="834"/>
      <c r="H20" s="835"/>
    </row>
    <row r="21" spans="2:8" x14ac:dyDescent="0.25">
      <c r="B21" s="264" t="s">
        <v>728</v>
      </c>
      <c r="C21" s="268">
        <f>C16</f>
        <v>6.3855399409943031E-4</v>
      </c>
      <c r="D21" s="66"/>
      <c r="E21" s="836"/>
      <c r="F21" s="837"/>
      <c r="G21" s="837"/>
      <c r="H21" s="838"/>
    </row>
    <row r="22" spans="2:8" x14ac:dyDescent="0.25">
      <c r="B22" s="264" t="s">
        <v>729</v>
      </c>
      <c r="C22" s="272">
        <f>Water!AA25</f>
        <v>0.88</v>
      </c>
      <c r="D22" s="66"/>
      <c r="E22" s="273"/>
      <c r="F22" s="273"/>
      <c r="G22" s="273"/>
      <c r="H22" s="273"/>
    </row>
    <row r="23" spans="2:8" x14ac:dyDescent="0.25">
      <c r="B23" s="264" t="s">
        <v>730</v>
      </c>
      <c r="C23" s="274">
        <f>1 + 0.237*C22</f>
        <v>1.2085600000000001</v>
      </c>
      <c r="D23" s="66"/>
      <c r="E23" s="273"/>
      <c r="F23" s="273"/>
      <c r="G23" s="273"/>
      <c r="H23" s="273"/>
    </row>
    <row r="24" spans="2:8" ht="18.75" x14ac:dyDescent="0.3">
      <c r="B24" s="264" t="s">
        <v>731</v>
      </c>
      <c r="C24" s="275">
        <f>1/C22 * 0.09009 / C23 * C21 *C4 * 3.78541 * 1000</f>
        <v>0.7905803315712745</v>
      </c>
      <c r="D24" s="66"/>
      <c r="E24" s="276"/>
      <c r="F24" s="276"/>
      <c r="G24" s="276"/>
      <c r="H24" s="276"/>
    </row>
    <row r="25" spans="2:8" x14ac:dyDescent="0.25">
      <c r="B25" s="66"/>
      <c r="C25" s="255"/>
      <c r="D25" s="66"/>
      <c r="E25" s="66"/>
      <c r="F25" s="66"/>
      <c r="G25" s="66"/>
      <c r="H25" s="263"/>
    </row>
    <row r="26" spans="2:8" x14ac:dyDescent="0.25">
      <c r="B26" s="824" t="s">
        <v>720</v>
      </c>
      <c r="C26" s="825"/>
      <c r="D26" s="66"/>
      <c r="E26" s="66"/>
      <c r="F26" s="66"/>
      <c r="G26" s="66"/>
      <c r="H26" s="263"/>
    </row>
    <row r="27" spans="2:8" x14ac:dyDescent="0.25">
      <c r="B27" s="826"/>
      <c r="C27" s="827"/>
      <c r="D27" s="66"/>
      <c r="E27" s="66"/>
      <c r="F27" s="66"/>
      <c r="G27" s="66"/>
      <c r="H27" s="263"/>
    </row>
    <row r="28" spans="2:8" x14ac:dyDescent="0.25">
      <c r="B28" s="264" t="s">
        <v>728</v>
      </c>
      <c r="C28" s="268">
        <f>C16</f>
        <v>6.3855399409943031E-4</v>
      </c>
      <c r="D28" s="66"/>
      <c r="E28" s="66"/>
      <c r="F28" s="66"/>
      <c r="G28" s="66"/>
      <c r="H28" s="263"/>
    </row>
    <row r="29" spans="2:8" x14ac:dyDescent="0.25">
      <c r="B29" s="264" t="s">
        <v>729</v>
      </c>
      <c r="C29" s="272">
        <f>Water!Y25</f>
        <v>0.1</v>
      </c>
      <c r="D29" s="66"/>
      <c r="E29" s="66"/>
      <c r="F29" s="66"/>
      <c r="G29" s="66"/>
      <c r="H29" s="263"/>
    </row>
    <row r="30" spans="2:8" x14ac:dyDescent="0.25">
      <c r="B30" s="264" t="s">
        <v>730</v>
      </c>
      <c r="C30" s="274">
        <f>1 + 0.49*C29 + 0.365*C29^2</f>
        <v>1.0526499999999999</v>
      </c>
      <c r="D30" s="66"/>
      <c r="E30" s="66"/>
      <c r="F30" s="66"/>
      <c r="G30" s="66"/>
      <c r="H30" s="263"/>
    </row>
    <row r="31" spans="2:8" ht="18.75" x14ac:dyDescent="0.3">
      <c r="B31" s="264" t="s">
        <v>731</v>
      </c>
      <c r="C31" s="275">
        <f>1/C29 * 0.098 / C30 * C28 *C4 * 3.78541 * 1000</f>
        <v>8.6888517614813665</v>
      </c>
      <c r="D31" s="66"/>
      <c r="E31" s="66"/>
      <c r="F31" s="66"/>
      <c r="G31" s="66"/>
      <c r="H31" s="263"/>
    </row>
    <row r="32" spans="2:8" x14ac:dyDescent="0.25">
      <c r="B32" s="277"/>
      <c r="C32" s="175"/>
      <c r="H32" s="155"/>
    </row>
  </sheetData>
  <sheetProtection password="CB17" sheet="1"/>
  <mergeCells count="6">
    <mergeCell ref="B26:C27"/>
    <mergeCell ref="B2:C3"/>
    <mergeCell ref="E2:H3"/>
    <mergeCell ref="B13:C14"/>
    <mergeCell ref="E13:H21"/>
    <mergeCell ref="B19:C20"/>
  </mergeCell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B300"/>
  <sheetViews>
    <sheetView topLeftCell="A10" workbookViewId="0">
      <selection activeCell="B176" sqref="B176"/>
    </sheetView>
  </sheetViews>
  <sheetFormatPr defaultRowHeight="15" x14ac:dyDescent="0.25"/>
  <cols>
    <col min="1" max="1" width="27.5703125" customWidth="1"/>
    <col min="2" max="2" width="25.7109375" customWidth="1"/>
  </cols>
  <sheetData>
    <row r="1" spans="1:2" x14ac:dyDescent="0.25">
      <c r="A1" t="str">
        <f>H2ORecCross!A1</f>
        <v>08-American Amber Ale</v>
      </c>
      <c r="B1" t="str">
        <f>H2ORecCross!B1</f>
        <v>Generic Mid Amber Ale</v>
      </c>
    </row>
    <row r="2" spans="1:2" x14ac:dyDescent="0.25">
      <c r="A2" t="str">
        <f>H2ORecCross!A2</f>
        <v>08-American Barleywine</v>
      </c>
      <c r="B2" t="str">
        <f>H2ORecCross!B2</f>
        <v>Generic Big Amber Ale</v>
      </c>
    </row>
    <row r="3" spans="1:2" x14ac:dyDescent="0.25">
      <c r="A3" t="str">
        <f>H2ORecCross!A3</f>
        <v>08-American Brown Ale</v>
      </c>
      <c r="B3" t="str">
        <f>H2ORecCross!B3</f>
        <v>VikeMan's Do as I Do Brown</v>
      </c>
    </row>
    <row r="4" spans="1:2" x14ac:dyDescent="0.25">
      <c r="A4" t="str">
        <f>H2ORecCross!A4</f>
        <v>08-American Brown Ale</v>
      </c>
      <c r="B4" t="str">
        <f>H2ORecCross!B4</f>
        <v>VikeMan's Do as I Say Brown</v>
      </c>
    </row>
    <row r="5" spans="1:2" x14ac:dyDescent="0.25">
      <c r="A5" t="str">
        <f>H2ORecCross!A5</f>
        <v>08-American Brown Ale</v>
      </c>
      <c r="B5" t="str">
        <f>H2ORecCross!B5</f>
        <v>Generic Mid Dark Ale</v>
      </c>
    </row>
    <row r="6" spans="1:2" x14ac:dyDescent="0.25">
      <c r="A6" t="str">
        <f>H2ORecCross!A6</f>
        <v>08-American IPA</v>
      </c>
      <c r="B6" t="str">
        <f>H2ORecCross!B6</f>
        <v>VikeMan's (Averagely Perfect) AIPA</v>
      </c>
    </row>
    <row r="7" spans="1:2" x14ac:dyDescent="0.25">
      <c r="A7" t="str">
        <f>H2ORecCross!A7</f>
        <v>08-American IPA</v>
      </c>
      <c r="B7" t="str">
        <f>H2ORecCross!B7</f>
        <v>Generic Mid Bitter Pale Ale</v>
      </c>
    </row>
    <row r="8" spans="1:2" x14ac:dyDescent="0.25">
      <c r="A8" t="str">
        <f>H2ORecCross!A8</f>
        <v>08-American Pale Ale</v>
      </c>
      <c r="B8" t="str">
        <f>H2ORecCross!B8</f>
        <v>Ward G. Walkup IV's Velarde's Flight</v>
      </c>
    </row>
    <row r="9" spans="1:2" x14ac:dyDescent="0.25">
      <c r="A9" t="str">
        <f>H2ORecCross!A9</f>
        <v>08-American Pale Ale</v>
      </c>
      <c r="B9" t="str">
        <f>H2ORecCross!B9</f>
        <v>Generic Mid Bitter Pale Ale</v>
      </c>
    </row>
    <row r="10" spans="1:2" x14ac:dyDescent="0.25">
      <c r="A10" t="str">
        <f>H2ORecCross!A10</f>
        <v>08-American Stout</v>
      </c>
      <c r="B10" t="str">
        <f>H2ORecCross!B10</f>
        <v>Generic Mid Dark Ale</v>
      </c>
    </row>
    <row r="11" spans="1:2" x14ac:dyDescent="0.25">
      <c r="A11" t="str">
        <f>H2ORecCross!A11</f>
        <v>08-American Wheat or Rye Beer</v>
      </c>
      <c r="B11" t="str">
        <f>H2ORecCross!B11</f>
        <v>Generic Small Pale Ale</v>
      </c>
    </row>
    <row r="12" spans="1:2" x14ac:dyDescent="0.25">
      <c r="A12" t="str">
        <f>H2ORecCross!A12</f>
        <v>08-Baltic Porter</v>
      </c>
      <c r="B12" t="str">
        <f>H2ORecCross!B12</f>
        <v>Generic Big Dark Lager</v>
      </c>
    </row>
    <row r="13" spans="1:2" x14ac:dyDescent="0.25">
      <c r="A13" t="str">
        <f>H2ORecCross!A13</f>
        <v>08-Belgian Blond Ale</v>
      </c>
      <c r="B13" t="str">
        <f>H2ORecCross!B13</f>
        <v>Generic Big Pale Ale</v>
      </c>
    </row>
    <row r="14" spans="1:2" x14ac:dyDescent="0.25">
      <c r="A14" t="str">
        <f>H2ORecCross!A14</f>
        <v>08-Belgian Dark Strong Ale</v>
      </c>
      <c r="B14" t="str">
        <f>H2ORecCross!B14</f>
        <v>Generic Big Dark Ale</v>
      </c>
    </row>
    <row r="15" spans="1:2" x14ac:dyDescent="0.25">
      <c r="A15" t="str">
        <f>H2ORecCross!A15</f>
        <v>08-Belgian Dubbel</v>
      </c>
      <c r="B15" t="str">
        <f>H2ORecCross!B15</f>
        <v>Generic Big Amber Ale</v>
      </c>
    </row>
    <row r="16" spans="1:2" x14ac:dyDescent="0.25">
      <c r="A16" t="str">
        <f>H2ORecCross!A16</f>
        <v>08-Belgian Golden Strong Ale</v>
      </c>
      <c r="B16" t="str">
        <f>H2ORecCross!B16</f>
        <v>Generic Big Pale Ale</v>
      </c>
    </row>
    <row r="17" spans="1:2" x14ac:dyDescent="0.25">
      <c r="A17" t="str">
        <f>H2ORecCross!A17</f>
        <v>08-Belgian Pale Ale</v>
      </c>
      <c r="B17" t="str">
        <f>H2ORecCross!B17</f>
        <v>Generic Mid Amber Ale</v>
      </c>
    </row>
    <row r="18" spans="1:2" x14ac:dyDescent="0.25">
      <c r="A18" t="str">
        <f>H2ORecCross!A18</f>
        <v>08-Belgian Tripel</v>
      </c>
      <c r="B18" t="str">
        <f>H2ORecCross!B18</f>
        <v>Generic Big Pale Ale</v>
      </c>
    </row>
    <row r="19" spans="1:2" x14ac:dyDescent="0.25">
      <c r="A19" t="str">
        <f>H2ORecCross!A19</f>
        <v>08-Bière de Garde</v>
      </c>
      <c r="B19" t="str">
        <f>H2ORecCross!B19</f>
        <v>Generic Big Amber Ale</v>
      </c>
    </row>
    <row r="20" spans="1:2" x14ac:dyDescent="0.25">
      <c r="A20" t="str">
        <f>H2ORecCross!A20</f>
        <v>08-Blonde Ale</v>
      </c>
      <c r="B20" t="str">
        <f>H2ORecCross!B20</f>
        <v>VikeMan's Blonde Ale</v>
      </c>
    </row>
    <row r="21" spans="1:2" x14ac:dyDescent="0.25">
      <c r="A21" t="str">
        <f>H2ORecCross!A21</f>
        <v>08-Blonde Ale</v>
      </c>
      <c r="B21" t="str">
        <f>H2ORecCross!B21</f>
        <v>Generic Small Pale Ale</v>
      </c>
    </row>
    <row r="22" spans="1:2" x14ac:dyDescent="0.25">
      <c r="A22" t="str">
        <f>H2ORecCross!A22</f>
        <v>08-Bohemian Pilsener</v>
      </c>
      <c r="B22" t="str">
        <f>H2ORecCross!B22</f>
        <v>Vikeman's Bo Pils</v>
      </c>
    </row>
    <row r="23" spans="1:2" x14ac:dyDescent="0.25">
      <c r="A23" t="str">
        <f>H2ORecCross!A23</f>
        <v>08-Brown Porter</v>
      </c>
      <c r="B23" t="str">
        <f>H2ORecCross!B23</f>
        <v>Generic Mid Dark Ale</v>
      </c>
    </row>
    <row r="24" spans="1:2" x14ac:dyDescent="0.25">
      <c r="A24" t="str">
        <f>H2ORecCross!A24</f>
        <v>08-California Common Beer</v>
      </c>
      <c r="B24" t="str">
        <f>H2ORecCross!B24</f>
        <v>Generic Mid Amber Ale</v>
      </c>
    </row>
    <row r="25" spans="1:2" x14ac:dyDescent="0.25">
      <c r="A25" t="str">
        <f>H2ORecCross!A25</f>
        <v>08-Classic American Pilsner</v>
      </c>
      <c r="B25" t="str">
        <f>H2ORecCross!B25</f>
        <v>Kai's Pilsner</v>
      </c>
    </row>
    <row r="26" spans="1:2" x14ac:dyDescent="0.25">
      <c r="A26" t="str">
        <f>H2ORecCross!A26</f>
        <v>08-Classic American Pilsner</v>
      </c>
      <c r="B26" t="str">
        <f>H2ORecCross!B26</f>
        <v>Generic Mid Pale Lager</v>
      </c>
    </row>
    <row r="27" spans="1:2" x14ac:dyDescent="0.25">
      <c r="A27" t="str">
        <f>H2ORecCross!A27</f>
        <v>08-Classic Rauchbier</v>
      </c>
      <c r="B27" t="str">
        <f>H2ORecCross!B27</f>
        <v>Generic Mid Amber Lager</v>
      </c>
    </row>
    <row r="28" spans="1:2" x14ac:dyDescent="0.25">
      <c r="A28" t="str">
        <f>H2ORecCross!A28</f>
        <v>08-Cream Ale</v>
      </c>
      <c r="B28" t="str">
        <f>H2ORecCross!B28</f>
        <v>Generic Mid Malty Pale Ale</v>
      </c>
    </row>
    <row r="29" spans="1:2" x14ac:dyDescent="0.25">
      <c r="A29" t="str">
        <f>H2ORecCross!A29</f>
        <v>08-Dark American Lager</v>
      </c>
      <c r="B29" t="str">
        <f>H2ORecCross!B29</f>
        <v>Generic Mid Dark Lager</v>
      </c>
    </row>
    <row r="30" spans="1:2" x14ac:dyDescent="0.25">
      <c r="A30" t="str">
        <f>H2ORecCross!A30</f>
        <v>08-Doppelbock</v>
      </c>
      <c r="B30" t="str">
        <f>H2ORecCross!B30</f>
        <v>Generic Big Amber Lager</v>
      </c>
    </row>
    <row r="31" spans="1:2" x14ac:dyDescent="0.25">
      <c r="A31" t="str">
        <f>H2ORecCross!A31</f>
        <v>08-Dortmunder Export</v>
      </c>
      <c r="B31" t="str">
        <f>H2ORecCross!B31</f>
        <v>Dortmunder</v>
      </c>
    </row>
    <row r="32" spans="1:2" x14ac:dyDescent="0.25">
      <c r="A32" t="str">
        <f>H2ORecCross!A32</f>
        <v>08-Dry Stout</v>
      </c>
      <c r="B32" t="str">
        <f>H2ORecCross!B32</f>
        <v>Generic Small Dark Ale</v>
      </c>
    </row>
    <row r="33" spans="1:2" x14ac:dyDescent="0.25">
      <c r="A33" t="str">
        <f>H2ORecCross!A33</f>
        <v>08-Düsseldorf Altbier</v>
      </c>
      <c r="B33" t="str">
        <f>H2ORecCross!B33</f>
        <v>Generic Mid Amber Ale</v>
      </c>
    </row>
    <row r="34" spans="1:2" x14ac:dyDescent="0.25">
      <c r="A34" t="str">
        <f>H2ORecCross!A34</f>
        <v>08-Dunkelweizen</v>
      </c>
      <c r="B34" t="str">
        <f>H2ORecCross!B34</f>
        <v>Generic Mid Dark Ale</v>
      </c>
    </row>
    <row r="35" spans="1:2" x14ac:dyDescent="0.25">
      <c r="A35" t="str">
        <f>H2ORecCross!A35</f>
        <v>08-English Barleywine</v>
      </c>
      <c r="B35" t="str">
        <f>H2ORecCross!B35</f>
        <v>Generic Big Amber Ale</v>
      </c>
    </row>
    <row r="36" spans="1:2" x14ac:dyDescent="0.25">
      <c r="A36" t="str">
        <f>H2ORecCross!A36</f>
        <v>08-English IPA</v>
      </c>
      <c r="B36" t="str">
        <f>H2ORecCross!B36</f>
        <v>Generic Mid Amber Ale</v>
      </c>
    </row>
    <row r="37" spans="1:2" x14ac:dyDescent="0.25">
      <c r="A37" t="str">
        <f>H2ORecCross!A37</f>
        <v>08-Extra Special/Strong Bitter (English Pale Ale)</v>
      </c>
      <c r="B37" t="str">
        <f>H2ORecCross!B37</f>
        <v>Generic Mid Amber Ale</v>
      </c>
    </row>
    <row r="38" spans="1:2" x14ac:dyDescent="0.25">
      <c r="A38" t="str">
        <f>H2ORecCross!A38</f>
        <v>08-Foreign Extra Stout</v>
      </c>
      <c r="B38" t="str">
        <f>H2ORecCross!B38</f>
        <v>Generic Big Dark Ale</v>
      </c>
    </row>
    <row r="39" spans="1:2" x14ac:dyDescent="0.25">
      <c r="A39" t="str">
        <f>H2ORecCross!A39</f>
        <v>08-German Pilsner (Pils)</v>
      </c>
      <c r="B39" t="str">
        <f>H2ORecCross!B39</f>
        <v>Kai's Pilsner</v>
      </c>
    </row>
    <row r="40" spans="1:2" x14ac:dyDescent="0.25">
      <c r="A40" t="str">
        <f>H2ORecCross!A40</f>
        <v>08-German Pilsner (Pils)</v>
      </c>
      <c r="B40" t="str">
        <f>H2ORecCross!B40</f>
        <v>Generic Mid Pale Lager</v>
      </c>
    </row>
    <row r="41" spans="1:2" x14ac:dyDescent="0.25">
      <c r="A41" t="str">
        <f>H2ORecCross!A41</f>
        <v>08-Imperial IPA</v>
      </c>
      <c r="B41" t="str">
        <f>H2ORecCross!B41</f>
        <v>Generic Mid Bitter Pale Ale</v>
      </c>
    </row>
    <row r="42" spans="1:2" x14ac:dyDescent="0.25">
      <c r="A42" t="str">
        <f>H2ORecCross!A42</f>
        <v>08-Irish Red Ale</v>
      </c>
      <c r="B42" t="str">
        <f>H2ORecCross!B42</f>
        <v>Generic Mid Amber Ale</v>
      </c>
    </row>
    <row r="43" spans="1:2" x14ac:dyDescent="0.25">
      <c r="A43" t="str">
        <f>H2ORecCross!A43</f>
        <v>08-Kölsch</v>
      </c>
      <c r="B43" t="str">
        <f>H2ORecCross!B43</f>
        <v>Generic Mid Malty Pale Ale</v>
      </c>
    </row>
    <row r="44" spans="1:2" x14ac:dyDescent="0.25">
      <c r="A44" t="str">
        <f>H2ORecCross!A44</f>
        <v>08-Lite American Lager</v>
      </c>
      <c r="B44" t="str">
        <f>H2ORecCross!B44</f>
        <v>Generic Small Pale Lager</v>
      </c>
    </row>
    <row r="45" spans="1:2" x14ac:dyDescent="0.25">
      <c r="A45" t="str">
        <f>H2ORecCross!A45</f>
        <v>08-Maibock/Helles Bock</v>
      </c>
      <c r="B45" t="str">
        <f>H2ORecCross!B45</f>
        <v>Generic Big Amber Lager</v>
      </c>
    </row>
    <row r="46" spans="1:2" x14ac:dyDescent="0.25">
      <c r="A46" t="str">
        <f>H2ORecCross!A46</f>
        <v>08-Mild</v>
      </c>
      <c r="B46" t="str">
        <f>H2ORecCross!B46</f>
        <v>Generic Small Amber Ale</v>
      </c>
    </row>
    <row r="47" spans="1:2" x14ac:dyDescent="0.25">
      <c r="A47" t="str">
        <f>H2ORecCross!A47</f>
        <v>08-Munich Dunkel</v>
      </c>
      <c r="B47" t="str">
        <f>H2ORecCross!B47</f>
        <v>Generic Mid Dark Lager</v>
      </c>
    </row>
    <row r="48" spans="1:2" x14ac:dyDescent="0.25">
      <c r="A48" t="str">
        <f>H2ORecCross!A48</f>
        <v>08-Munich Helles</v>
      </c>
      <c r="B48" t="str">
        <f>H2ORecCross!B48</f>
        <v>Generic Small Pale Lager</v>
      </c>
    </row>
    <row r="49" spans="1:2" x14ac:dyDescent="0.25">
      <c r="A49" t="str">
        <f>H2ORecCross!A49</f>
        <v>08-Northern English Brown</v>
      </c>
      <c r="B49" t="str">
        <f>H2ORecCross!B49</f>
        <v>VikeMan's Do as I Do Brown</v>
      </c>
    </row>
    <row r="50" spans="1:2" x14ac:dyDescent="0.25">
      <c r="A50" t="str">
        <f>H2ORecCross!A50</f>
        <v>08-Northern English Brown</v>
      </c>
      <c r="B50" t="str">
        <f>H2ORecCross!B50</f>
        <v>VikeMan's Do as I Say Brown</v>
      </c>
    </row>
    <row r="51" spans="1:2" x14ac:dyDescent="0.25">
      <c r="A51" t="str">
        <f>H2ORecCross!A51</f>
        <v>08-Northern English Brown</v>
      </c>
      <c r="B51" t="str">
        <f>H2ORecCross!B51</f>
        <v>Generic Mid Dark Ale</v>
      </c>
    </row>
    <row r="52" spans="1:2" x14ac:dyDescent="0.25">
      <c r="A52" t="str">
        <f>H2ORecCross!A52</f>
        <v>08-Northern German Altbier</v>
      </c>
      <c r="B52" t="str">
        <f>H2ORecCross!B52</f>
        <v>Generic Mid Amber Ale</v>
      </c>
    </row>
    <row r="53" spans="1:2" x14ac:dyDescent="0.25">
      <c r="A53" t="str">
        <f>H2ORecCross!A53</f>
        <v>08-Oatmeal Stout</v>
      </c>
      <c r="B53" t="str">
        <f>H2ORecCross!B53</f>
        <v>Generic Mid Dark Ale</v>
      </c>
    </row>
    <row r="54" spans="1:2" x14ac:dyDescent="0.25">
      <c r="A54" t="str">
        <f>H2ORecCross!A54</f>
        <v>08-Oktoberfest</v>
      </c>
      <c r="B54" t="str">
        <f>H2ORecCross!B54</f>
        <v>Generic Mid Amber Lager</v>
      </c>
    </row>
    <row r="55" spans="1:2" x14ac:dyDescent="0.25">
      <c r="A55" t="str">
        <f>H2ORecCross!A55</f>
        <v>08-Old Ale</v>
      </c>
      <c r="B55" t="str">
        <f>H2ORecCross!B55</f>
        <v>VikeMan's Old Ale</v>
      </c>
    </row>
    <row r="56" spans="1:2" x14ac:dyDescent="0.25">
      <c r="A56" t="str">
        <f>H2ORecCross!A56</f>
        <v>08-Old Ale</v>
      </c>
      <c r="B56" t="str">
        <f>H2ORecCross!B56</f>
        <v>Generic Big Amber Ale</v>
      </c>
    </row>
    <row r="57" spans="1:2" x14ac:dyDescent="0.25">
      <c r="A57" t="str">
        <f>H2ORecCross!A57</f>
        <v>08-Premium American Lager</v>
      </c>
      <c r="B57" t="str">
        <f>H2ORecCross!B57</f>
        <v>Generic Mid Pale Lager</v>
      </c>
    </row>
    <row r="58" spans="1:2" x14ac:dyDescent="0.25">
      <c r="A58" t="str">
        <f>H2ORecCross!A58</f>
        <v>08-Robust Porter</v>
      </c>
      <c r="B58" t="str">
        <f>H2ORecCross!B58</f>
        <v>Generic Mid Dark Ale</v>
      </c>
    </row>
    <row r="59" spans="1:2" x14ac:dyDescent="0.25">
      <c r="A59" t="str">
        <f>H2ORecCross!A59</f>
        <v>08-Roggenbier (German Rye Beer)</v>
      </c>
      <c r="B59" t="str">
        <f>H2ORecCross!B59</f>
        <v>Generic Mid Amber Ale</v>
      </c>
    </row>
    <row r="60" spans="1:2" x14ac:dyDescent="0.25">
      <c r="A60" t="str">
        <f>H2ORecCross!A60</f>
        <v>08-Russian Imperial Stout</v>
      </c>
      <c r="B60" t="str">
        <f>H2ORecCross!B60</f>
        <v>Generic Big Dark Ale</v>
      </c>
    </row>
    <row r="61" spans="1:2" x14ac:dyDescent="0.25">
      <c r="A61" t="str">
        <f>H2ORecCross!A61</f>
        <v>08-Saison</v>
      </c>
      <c r="B61" t="str">
        <f>H2ORecCross!B61</f>
        <v>Generic Mid Bitter Pale Ale</v>
      </c>
    </row>
    <row r="62" spans="1:2" x14ac:dyDescent="0.25">
      <c r="A62" t="str">
        <f>H2ORecCross!A62</f>
        <v>08-Schwarzbier (Black Beer)</v>
      </c>
      <c r="B62" t="str">
        <f>H2ORecCross!B62</f>
        <v>Generic Mid Dark Lager</v>
      </c>
    </row>
    <row r="63" spans="1:2" x14ac:dyDescent="0.25">
      <c r="A63" t="str">
        <f>H2ORecCross!A63</f>
        <v>08-Scottish Export 80/-</v>
      </c>
      <c r="B63" t="str">
        <f>H2ORecCross!B63</f>
        <v>Generic Small Amber Ale</v>
      </c>
    </row>
    <row r="64" spans="1:2" x14ac:dyDescent="0.25">
      <c r="A64" t="str">
        <f>H2ORecCross!A64</f>
        <v>08-Scottish Heavy 70/-</v>
      </c>
      <c r="B64" t="str">
        <f>H2ORecCross!B64</f>
        <v>Generic Small Amber Ale</v>
      </c>
    </row>
    <row r="65" spans="1:2" x14ac:dyDescent="0.25">
      <c r="A65" t="str">
        <f>H2ORecCross!A65</f>
        <v>08-Scottish Light 60/-</v>
      </c>
      <c r="B65" t="str">
        <f>H2ORecCross!B65</f>
        <v>Generic Small Amber Ale</v>
      </c>
    </row>
    <row r="66" spans="1:2" x14ac:dyDescent="0.25">
      <c r="A66" t="str">
        <f>H2ORecCross!A66</f>
        <v>08-Southern English Brown</v>
      </c>
      <c r="B66" t="str">
        <f>H2ORecCross!B66</f>
        <v>VikeMan's Do as I Do Brown</v>
      </c>
    </row>
    <row r="67" spans="1:2" x14ac:dyDescent="0.25">
      <c r="A67" t="str">
        <f>H2ORecCross!A67</f>
        <v>08-Southern English Brown</v>
      </c>
      <c r="B67" t="str">
        <f>H2ORecCross!B67</f>
        <v>VikeMan's Do as I Say Brown</v>
      </c>
    </row>
    <row r="68" spans="1:2" x14ac:dyDescent="0.25">
      <c r="A68" t="str">
        <f>H2ORecCross!A68</f>
        <v>08-Southern English Brown</v>
      </c>
      <c r="B68" t="str">
        <f>H2ORecCross!B68</f>
        <v>Generic Small Dark Ale</v>
      </c>
    </row>
    <row r="69" spans="1:2" x14ac:dyDescent="0.25">
      <c r="A69" t="str">
        <f>H2ORecCross!A69</f>
        <v>08-Special/Best/Premium Bitter</v>
      </c>
      <c r="B69" t="str">
        <f>H2ORecCross!B69</f>
        <v>Generic Small Pale Ale</v>
      </c>
    </row>
    <row r="70" spans="1:2" x14ac:dyDescent="0.25">
      <c r="A70" t="str">
        <f>H2ORecCross!A70</f>
        <v>08-Standard American Lager</v>
      </c>
      <c r="B70" t="str">
        <f>H2ORecCross!B70</f>
        <v>Generic Small Pale Lager</v>
      </c>
    </row>
    <row r="71" spans="1:2" x14ac:dyDescent="0.25">
      <c r="A71" t="str">
        <f>H2ORecCross!A71</f>
        <v>08-Standard/Ordinary Bitter</v>
      </c>
      <c r="B71" t="str">
        <f>H2ORecCross!B71</f>
        <v>Generic Small Pale Ale</v>
      </c>
    </row>
    <row r="72" spans="1:2" x14ac:dyDescent="0.25">
      <c r="A72" t="str">
        <f>H2ORecCross!A72</f>
        <v>08-Strong Scotch Ale</v>
      </c>
      <c r="B72" t="str">
        <f>H2ORecCross!B72</f>
        <v>Generic Big Amber Ale</v>
      </c>
    </row>
    <row r="73" spans="1:2" x14ac:dyDescent="0.25">
      <c r="A73" t="str">
        <f>H2ORecCross!A73</f>
        <v>08-Sweet Stout</v>
      </c>
      <c r="B73" t="str">
        <f>H2ORecCross!B73</f>
        <v>Ward G. Walkup IV's Matrimonial Milk Stout</v>
      </c>
    </row>
    <row r="74" spans="1:2" x14ac:dyDescent="0.25">
      <c r="A74" t="str">
        <f>H2ORecCross!A74</f>
        <v>08-Sweet Stout</v>
      </c>
      <c r="B74" t="str">
        <f>H2ORecCross!B74</f>
        <v>Generic Mid Dark Ale</v>
      </c>
    </row>
    <row r="75" spans="1:2" x14ac:dyDescent="0.25">
      <c r="A75" t="str">
        <f>H2ORecCross!A75</f>
        <v>08-Traditional Bock</v>
      </c>
      <c r="B75" t="str">
        <f>H2ORecCross!B75</f>
        <v>Generic Big Amber Lager</v>
      </c>
    </row>
    <row r="76" spans="1:2" x14ac:dyDescent="0.25">
      <c r="A76" t="str">
        <f>H2ORecCross!A76</f>
        <v>08-Vienna Lager</v>
      </c>
      <c r="B76" t="str">
        <f>H2ORecCross!B76</f>
        <v>VikeMan's Vienna</v>
      </c>
    </row>
    <row r="77" spans="1:2" x14ac:dyDescent="0.25">
      <c r="A77" t="str">
        <f>H2ORecCross!A77</f>
        <v>08-Vienna Lager</v>
      </c>
      <c r="B77" t="str">
        <f>H2ORecCross!B77</f>
        <v>Generic Mid Amber Lager</v>
      </c>
    </row>
    <row r="78" spans="1:2" x14ac:dyDescent="0.25">
      <c r="A78" t="str">
        <f>H2ORecCross!A78</f>
        <v>08-Weizen/Weissbier</v>
      </c>
      <c r="B78" t="str">
        <f>H2ORecCross!B78</f>
        <v>Generic Mid Malty Pale Ale</v>
      </c>
    </row>
    <row r="79" spans="1:2" x14ac:dyDescent="0.25">
      <c r="A79" t="str">
        <f>H2ORecCross!A79</f>
        <v>08-Weizenbock</v>
      </c>
      <c r="B79" t="str">
        <f>H2ORecCross!B79</f>
        <v>Generic Big Dark Ale</v>
      </c>
    </row>
    <row r="80" spans="1:2" x14ac:dyDescent="0.25">
      <c r="A80" t="str">
        <f>H2ORecCross!A80</f>
        <v>08-Witbier</v>
      </c>
      <c r="B80" t="str">
        <f>H2ORecCross!B80</f>
        <v>Generic Mid Malty Pale Ale</v>
      </c>
    </row>
    <row r="81" spans="1:2" x14ac:dyDescent="0.25">
      <c r="A81" t="str">
        <f>H2ORecCross!A81</f>
        <v>Altbier</v>
      </c>
      <c r="B81" t="str">
        <f>H2ORecCross!B81</f>
        <v>Generic Mid Amber Ale</v>
      </c>
    </row>
    <row r="82" spans="1:2" x14ac:dyDescent="0.25">
      <c r="A82" t="str">
        <f>H2ORecCross!A82</f>
        <v>American Amber Ale</v>
      </c>
      <c r="B82" t="str">
        <f>H2ORecCross!B82</f>
        <v>Generic Mid Amber Ale</v>
      </c>
    </row>
    <row r="83" spans="1:2" x14ac:dyDescent="0.25">
      <c r="A83" t="str">
        <f>H2ORecCross!A83</f>
        <v>American Barleywine</v>
      </c>
      <c r="B83" t="str">
        <f>H2ORecCross!B83</f>
        <v>Generic Big Amber Ale</v>
      </c>
    </row>
    <row r="84" spans="1:2" x14ac:dyDescent="0.25">
      <c r="A84" t="str">
        <f>H2ORecCross!A84</f>
        <v>American Brown Ale</v>
      </c>
      <c r="B84" t="str">
        <f>H2ORecCross!B84</f>
        <v>VikeMan's Do as I Do Brown</v>
      </c>
    </row>
    <row r="85" spans="1:2" x14ac:dyDescent="0.25">
      <c r="A85" t="str">
        <f>H2ORecCross!A85</f>
        <v>American Brown Ale</v>
      </c>
      <c r="B85" t="str">
        <f>H2ORecCross!B85</f>
        <v>VikeMan's Do as I Say Brown</v>
      </c>
    </row>
    <row r="86" spans="1:2" x14ac:dyDescent="0.25">
      <c r="A86" t="str">
        <f>H2ORecCross!A86</f>
        <v>American Brown Ale</v>
      </c>
      <c r="B86" t="str">
        <f>H2ORecCross!B86</f>
        <v>Generic Mid Dark Ale</v>
      </c>
    </row>
    <row r="87" spans="1:2" x14ac:dyDescent="0.25">
      <c r="A87" t="str">
        <f>H2ORecCross!A87</f>
        <v>American IPA</v>
      </c>
      <c r="B87" t="str">
        <f>H2ORecCross!B87</f>
        <v>VikeMan's (Averagely Perfect) AIPA</v>
      </c>
    </row>
    <row r="88" spans="1:2" x14ac:dyDescent="0.25">
      <c r="A88" t="str">
        <f>H2ORecCross!A88</f>
        <v>American IPA</v>
      </c>
      <c r="B88" t="str">
        <f>H2ORecCross!B88</f>
        <v>Generic Mid Bitter Pale Ale</v>
      </c>
    </row>
    <row r="89" spans="1:2" x14ac:dyDescent="0.25">
      <c r="A89" t="str">
        <f>H2ORecCross!A89</f>
        <v>American Lager</v>
      </c>
      <c r="B89" t="str">
        <f>H2ORecCross!B89</f>
        <v>Kai's Pilsner</v>
      </c>
    </row>
    <row r="90" spans="1:2" x14ac:dyDescent="0.25">
      <c r="A90" t="str">
        <f>H2ORecCross!A90</f>
        <v>American Lager</v>
      </c>
      <c r="B90" t="str">
        <f>H2ORecCross!B90</f>
        <v>Generic Mid Pale Lager</v>
      </c>
    </row>
    <row r="91" spans="1:2" x14ac:dyDescent="0.25">
      <c r="A91" t="str">
        <f>H2ORecCross!A91</f>
        <v>American Light Lager</v>
      </c>
      <c r="B91" t="str">
        <f>H2ORecCross!B91</f>
        <v>Generic Small Pale Lager</v>
      </c>
    </row>
    <row r="92" spans="1:2" x14ac:dyDescent="0.25">
      <c r="A92" t="str">
        <f>H2ORecCross!A92</f>
        <v>American Pale Ale</v>
      </c>
      <c r="B92" t="str">
        <f>H2ORecCross!B92</f>
        <v>Ward G. Walkup IV's Velarde's Flight</v>
      </c>
    </row>
    <row r="93" spans="1:2" x14ac:dyDescent="0.25">
      <c r="A93" t="str">
        <f>H2ORecCross!A93</f>
        <v>American Pale Ale</v>
      </c>
      <c r="B93" t="str">
        <f>H2ORecCross!B93</f>
        <v>Generic Mid Bitter Pale Ale</v>
      </c>
    </row>
    <row r="94" spans="1:2" x14ac:dyDescent="0.25">
      <c r="A94" t="str">
        <f>H2ORecCross!A94</f>
        <v>American Porter</v>
      </c>
      <c r="B94" t="str">
        <f>H2ORecCross!B94</f>
        <v>Generic Mid Dark Ale</v>
      </c>
    </row>
    <row r="95" spans="1:2" x14ac:dyDescent="0.25">
      <c r="A95" t="str">
        <f>H2ORecCross!A95</f>
        <v>American Stout</v>
      </c>
      <c r="B95" t="str">
        <f>H2ORecCross!B95</f>
        <v>Generic Mid Dark Ale</v>
      </c>
    </row>
    <row r="96" spans="1:2" x14ac:dyDescent="0.25">
      <c r="A96" t="str">
        <f>H2ORecCross!A96</f>
        <v>American Strong Ale</v>
      </c>
      <c r="B96" t="str">
        <f>H2ORecCross!B96</f>
        <v>Generic Big Amber Ale</v>
      </c>
    </row>
    <row r="97" spans="1:2" x14ac:dyDescent="0.25">
      <c r="A97" t="str">
        <f>H2ORecCross!A97</f>
        <v>American Wheat Beer</v>
      </c>
      <c r="B97" t="str">
        <f>H2ORecCross!B97</f>
        <v>Generic Small Pale Ale</v>
      </c>
    </row>
    <row r="98" spans="1:2" x14ac:dyDescent="0.25">
      <c r="A98" t="str">
        <f>H2ORecCross!A98</f>
        <v>Australian Sparkling Ale</v>
      </c>
      <c r="B98" t="str">
        <f>H2ORecCross!B98</f>
        <v>Generic Mid Pale Lager</v>
      </c>
    </row>
    <row r="99" spans="1:2" x14ac:dyDescent="0.25">
      <c r="A99" t="str">
        <f>H2ORecCross!A99</f>
        <v>Baltic Porter</v>
      </c>
      <c r="B99" t="str">
        <f>H2ORecCross!B99</f>
        <v>Generic Big Dark Lager</v>
      </c>
    </row>
    <row r="100" spans="1:2" x14ac:dyDescent="0.25">
      <c r="A100" t="str">
        <f>H2ORecCross!A100</f>
        <v>Belgian Blond Ale</v>
      </c>
      <c r="B100" t="str">
        <f>H2ORecCross!B100</f>
        <v>Generic Big Pale Ale</v>
      </c>
    </row>
    <row r="101" spans="1:2" x14ac:dyDescent="0.25">
      <c r="A101" t="str">
        <f>H2ORecCross!A101</f>
        <v>Belgian Dark Strong Ale</v>
      </c>
      <c r="B101" t="str">
        <f>H2ORecCross!B101</f>
        <v>Generic Big Dark Ale</v>
      </c>
    </row>
    <row r="102" spans="1:2" x14ac:dyDescent="0.25">
      <c r="A102" t="str">
        <f>H2ORecCross!A102</f>
        <v>Belgian Dubbel</v>
      </c>
      <c r="B102" t="str">
        <f>H2ORecCross!B102</f>
        <v>Generic Big Amber Ale</v>
      </c>
    </row>
    <row r="103" spans="1:2" x14ac:dyDescent="0.25">
      <c r="A103" t="str">
        <f>H2ORecCross!A103</f>
        <v>Belgian Golden Strong Ale</v>
      </c>
      <c r="B103" t="str">
        <f>H2ORecCross!B103</f>
        <v>Generic Big Pale Ale</v>
      </c>
    </row>
    <row r="104" spans="1:2" x14ac:dyDescent="0.25">
      <c r="A104" t="str">
        <f>H2ORecCross!A104</f>
        <v>Belgian IPA</v>
      </c>
      <c r="B104" t="str">
        <f>H2ORecCross!B104</f>
        <v>Generic Mid Bitter Pale Ale</v>
      </c>
    </row>
    <row r="105" spans="1:2" x14ac:dyDescent="0.25">
      <c r="A105" t="str">
        <f>H2ORecCross!A105</f>
        <v>Belgian Pale Ale</v>
      </c>
      <c r="B105" t="str">
        <f>H2ORecCross!B105</f>
        <v>Generic Mid Bitter Pale Ale</v>
      </c>
    </row>
    <row r="106" spans="1:2" x14ac:dyDescent="0.25">
      <c r="A106" t="str">
        <f>H2ORecCross!A106</f>
        <v>Belgian Tripel</v>
      </c>
      <c r="B106" t="str">
        <f>H2ORecCross!B106</f>
        <v>Generic Big Pale Ale</v>
      </c>
    </row>
    <row r="107" spans="1:2" x14ac:dyDescent="0.25">
      <c r="A107" t="str">
        <f>H2ORecCross!A107</f>
        <v>Berliner Weisse</v>
      </c>
      <c r="B107" t="str">
        <f>H2ORecCross!B107</f>
        <v>VikeMan's Berliner</v>
      </c>
    </row>
    <row r="108" spans="1:2" x14ac:dyDescent="0.25">
      <c r="A108" t="str">
        <f>H2ORecCross!A108</f>
        <v>Berliner Weisse</v>
      </c>
      <c r="B108" t="str">
        <f>H2ORecCross!B108</f>
        <v>Generic Small Pale Ale</v>
      </c>
    </row>
    <row r="109" spans="1:2" x14ac:dyDescent="0.25">
      <c r="A109" t="str">
        <f>H2ORecCross!A109</f>
        <v>Best Bitter</v>
      </c>
      <c r="B109" t="str">
        <f>H2ORecCross!B109</f>
        <v>Generic Mid Amber Ale</v>
      </c>
    </row>
    <row r="110" spans="1:2" x14ac:dyDescent="0.25">
      <c r="A110" t="str">
        <f>H2ORecCross!A110</f>
        <v>Bière de Garde</v>
      </c>
      <c r="B110" t="str">
        <f>H2ORecCross!B110</f>
        <v>Generic Big Amber Ale</v>
      </c>
    </row>
    <row r="111" spans="1:2" x14ac:dyDescent="0.25">
      <c r="A111" t="str">
        <f>H2ORecCross!A111</f>
        <v>Black IPA</v>
      </c>
      <c r="B111" t="str">
        <f>H2ORecCross!B111</f>
        <v>Generic Mid Bitter Pale Ale</v>
      </c>
    </row>
    <row r="112" spans="1:2" x14ac:dyDescent="0.25">
      <c r="A112" t="str">
        <f>H2ORecCross!A112</f>
        <v>Blonde Ale</v>
      </c>
      <c r="B112" t="str">
        <f>H2ORecCross!B112</f>
        <v>VikeMan's Blonde Ale</v>
      </c>
    </row>
    <row r="113" spans="1:2" x14ac:dyDescent="0.25">
      <c r="A113" t="str">
        <f>H2ORecCross!A113</f>
        <v>Blonde Ale</v>
      </c>
      <c r="B113" t="str">
        <f>H2ORecCross!B113</f>
        <v>Generic Small Pale Ale</v>
      </c>
    </row>
    <row r="114" spans="1:2" x14ac:dyDescent="0.25">
      <c r="A114" t="str">
        <f>H2ORecCross!A114</f>
        <v>British Brown Ale</v>
      </c>
      <c r="B114" t="str">
        <f>H2ORecCross!B114</f>
        <v>VikeMan's Do as I Do Brown</v>
      </c>
    </row>
    <row r="115" spans="1:2" x14ac:dyDescent="0.25">
      <c r="A115" t="str">
        <f>H2ORecCross!A115</f>
        <v>British Brown Ale</v>
      </c>
      <c r="B115" t="str">
        <f>H2ORecCross!B115</f>
        <v>VikeMan's Do as I Say Brown</v>
      </c>
    </row>
    <row r="116" spans="1:2" x14ac:dyDescent="0.25">
      <c r="A116" t="str">
        <f>H2ORecCross!A116</f>
        <v>British Brown Ale</v>
      </c>
      <c r="B116" t="str">
        <f>H2ORecCross!B116</f>
        <v>Generic Mid Dark Ale</v>
      </c>
    </row>
    <row r="117" spans="1:2" x14ac:dyDescent="0.25">
      <c r="A117" t="str">
        <f>H2ORecCross!A117</f>
        <v>British Golden Ale</v>
      </c>
      <c r="B117" t="str">
        <f>H2ORecCross!B117</f>
        <v>Generic Small Pale Ale</v>
      </c>
    </row>
    <row r="118" spans="1:2" x14ac:dyDescent="0.25">
      <c r="A118" t="str">
        <f>H2ORecCross!A118</f>
        <v>British Strong Ale</v>
      </c>
      <c r="B118" t="str">
        <f>H2ORecCross!B118</f>
        <v>Generic Big Amber Ale</v>
      </c>
    </row>
    <row r="119" spans="1:2" x14ac:dyDescent="0.25">
      <c r="A119" t="str">
        <f>H2ORecCross!A119</f>
        <v>Brown IPA</v>
      </c>
      <c r="B119" t="str">
        <f>H2ORecCross!B119</f>
        <v>Generic Mid Bitter Pale Ale</v>
      </c>
    </row>
    <row r="120" spans="1:2" x14ac:dyDescent="0.25">
      <c r="A120" t="str">
        <f>H2ORecCross!A120</f>
        <v>California Common</v>
      </c>
      <c r="B120" t="str">
        <f>H2ORecCross!B120</f>
        <v>Generic Mid Amber Ale</v>
      </c>
    </row>
    <row r="121" spans="1:2" x14ac:dyDescent="0.25">
      <c r="A121" t="str">
        <f>H2ORecCross!A121</f>
        <v>Cream Ale</v>
      </c>
      <c r="B121" t="str">
        <f>H2ORecCross!B121</f>
        <v>Generic Mid Malty Pale Ale</v>
      </c>
    </row>
    <row r="122" spans="1:2" x14ac:dyDescent="0.25">
      <c r="A122" t="str">
        <f>H2ORecCross!A122</f>
        <v>Czech Amber Lager</v>
      </c>
      <c r="B122" t="str">
        <f>H2ORecCross!B122</f>
        <v>Generic Mid Amber Lager</v>
      </c>
    </row>
    <row r="123" spans="1:2" x14ac:dyDescent="0.25">
      <c r="A123" t="str">
        <f>H2ORecCross!A123</f>
        <v>Czech Dark Lager</v>
      </c>
      <c r="B123" t="str">
        <f>H2ORecCross!B123</f>
        <v>Generic Mid Dark Lager</v>
      </c>
    </row>
    <row r="124" spans="1:2" x14ac:dyDescent="0.25">
      <c r="A124" t="str">
        <f>H2ORecCross!A124</f>
        <v>Czech Pale Lager</v>
      </c>
      <c r="B124" t="str">
        <f>H2ORecCross!B124</f>
        <v>Vikeman's Bo Pils</v>
      </c>
    </row>
    <row r="125" spans="1:2" x14ac:dyDescent="0.25">
      <c r="A125" t="str">
        <f>H2ORecCross!A125</f>
        <v>Czech Premium Pale Lager</v>
      </c>
      <c r="B125" t="str">
        <f>H2ORecCross!B125</f>
        <v>Vikeman's Bo Pils</v>
      </c>
    </row>
    <row r="126" spans="1:2" x14ac:dyDescent="0.25">
      <c r="A126" t="str">
        <f>H2ORecCross!A126</f>
        <v>Dark Mild</v>
      </c>
      <c r="B126" t="str">
        <f>H2ORecCross!B126</f>
        <v>Generic Small Amber Ale</v>
      </c>
    </row>
    <row r="127" spans="1:2" x14ac:dyDescent="0.25">
      <c r="A127" t="str">
        <f>H2ORecCross!A127</f>
        <v>Doppelbock</v>
      </c>
      <c r="B127" t="str">
        <f>H2ORecCross!B127</f>
        <v>Generic Big Amber Lager</v>
      </c>
    </row>
    <row r="128" spans="1:2" x14ac:dyDescent="0.25">
      <c r="A128" t="str">
        <f>H2ORecCross!A128</f>
        <v>Double IPA</v>
      </c>
      <c r="B128" t="str">
        <f>H2ORecCross!B128</f>
        <v>Generic Mid Bitter Pale Ale</v>
      </c>
    </row>
    <row r="129" spans="1:2" x14ac:dyDescent="0.25">
      <c r="A129" t="str">
        <f>H2ORecCross!A129</f>
        <v>Dunkles Bock</v>
      </c>
      <c r="B129" t="str">
        <f>H2ORecCross!B129</f>
        <v>Generic Big Dark Lager</v>
      </c>
    </row>
    <row r="130" spans="1:2" x14ac:dyDescent="0.25">
      <c r="A130" t="str">
        <f>H2ORecCross!A130</f>
        <v>Dunkles Weissbier</v>
      </c>
      <c r="B130" t="str">
        <f>H2ORecCross!B130</f>
        <v>Generic Mid Dark Ale</v>
      </c>
    </row>
    <row r="131" spans="1:2" x14ac:dyDescent="0.25">
      <c r="A131" t="str">
        <f>H2ORecCross!A131</f>
        <v>Eisbock</v>
      </c>
      <c r="B131" t="str">
        <f>H2ORecCross!B131</f>
        <v>Generic Big Amber Lager</v>
      </c>
    </row>
    <row r="132" spans="1:2" x14ac:dyDescent="0.25">
      <c r="A132" t="str">
        <f>H2ORecCross!A132</f>
        <v>English Barleywine</v>
      </c>
      <c r="B132" t="str">
        <f>H2ORecCross!B132</f>
        <v>Generic Big Amber Ale</v>
      </c>
    </row>
    <row r="133" spans="1:2" x14ac:dyDescent="0.25">
      <c r="A133" t="str">
        <f>H2ORecCross!A133</f>
        <v>English IPA</v>
      </c>
      <c r="B133" t="str">
        <f>H2ORecCross!B133</f>
        <v>Generic Mid Amber Ale</v>
      </c>
    </row>
    <row r="134" spans="1:2" x14ac:dyDescent="0.25">
      <c r="A134" t="str">
        <f>H2ORecCross!A134</f>
        <v>English Porter</v>
      </c>
      <c r="B134" t="str">
        <f>H2ORecCross!B134</f>
        <v>Generic Mid Dark Ale</v>
      </c>
    </row>
    <row r="135" spans="1:2" x14ac:dyDescent="0.25">
      <c r="A135" t="str">
        <f>H2ORecCross!A135</f>
        <v>Festbier</v>
      </c>
      <c r="B135" t="str">
        <f>H2ORecCross!B135</f>
        <v>Generic Small Pale Lager</v>
      </c>
    </row>
    <row r="136" spans="1:2" x14ac:dyDescent="0.25">
      <c r="A136" t="str">
        <f>H2ORecCross!A136</f>
        <v>Foreign Extra Stout</v>
      </c>
      <c r="B136" t="str">
        <f>H2ORecCross!B136</f>
        <v>Generic Big Dark Ale</v>
      </c>
    </row>
    <row r="137" spans="1:2" x14ac:dyDescent="0.25">
      <c r="A137" t="str">
        <f>H2ORecCross!A137</f>
        <v>German Helles Exportbier</v>
      </c>
      <c r="B137" t="str">
        <f>H2ORecCross!B137</f>
        <v>Generic Mid Pale Lager</v>
      </c>
    </row>
    <row r="138" spans="1:2" x14ac:dyDescent="0.25">
      <c r="A138" t="str">
        <f>H2ORecCross!A138</f>
        <v>German Leichtbier</v>
      </c>
      <c r="B138" t="str">
        <f>H2ORecCross!B138</f>
        <v>Generic Small Pale Ale</v>
      </c>
    </row>
    <row r="139" spans="1:2" x14ac:dyDescent="0.25">
      <c r="A139" t="str">
        <f>H2ORecCross!A139</f>
        <v>German Pils</v>
      </c>
      <c r="B139" t="str">
        <f>H2ORecCross!B139</f>
        <v>Kai's Pilsner</v>
      </c>
    </row>
    <row r="140" spans="1:2" x14ac:dyDescent="0.25">
      <c r="A140" t="str">
        <f>H2ORecCross!A140</f>
        <v>German Pils</v>
      </c>
      <c r="B140" t="str">
        <f>H2ORecCross!B140</f>
        <v>Generic Mid Pale Lager</v>
      </c>
    </row>
    <row r="141" spans="1:2" x14ac:dyDescent="0.25">
      <c r="A141" t="str">
        <f>H2ORecCross!A141</f>
        <v>Helles Bock</v>
      </c>
      <c r="B141" t="str">
        <f>H2ORecCross!B141</f>
        <v>Generic Big Amber Lager</v>
      </c>
    </row>
    <row r="142" spans="1:2" x14ac:dyDescent="0.25">
      <c r="A142" t="str">
        <f>H2ORecCross!A142</f>
        <v>Imperial Stout</v>
      </c>
      <c r="B142" t="str">
        <f>H2ORecCross!B142</f>
        <v>Generic Big Dark Ale</v>
      </c>
    </row>
    <row r="143" spans="1:2" x14ac:dyDescent="0.25">
      <c r="A143" t="str">
        <f>H2ORecCross!A143</f>
        <v>International Amber Lager</v>
      </c>
      <c r="B143" t="str">
        <f>H2ORecCross!B143</f>
        <v>Generic Mid Amber Lager</v>
      </c>
    </row>
    <row r="144" spans="1:2" x14ac:dyDescent="0.25">
      <c r="A144" t="str">
        <f>H2ORecCross!A144</f>
        <v>International Dark Lager</v>
      </c>
      <c r="B144" t="str">
        <f>H2ORecCross!B144</f>
        <v>Generic Mid Dark Lager</v>
      </c>
    </row>
    <row r="145" spans="1:2" x14ac:dyDescent="0.25">
      <c r="A145" t="str">
        <f>H2ORecCross!A145</f>
        <v>International Pale Lager</v>
      </c>
      <c r="B145" t="str">
        <f>H2ORecCross!B145</f>
        <v>Generic Mid Pale Lager</v>
      </c>
    </row>
    <row r="146" spans="1:2" x14ac:dyDescent="0.25">
      <c r="A146" t="str">
        <f>H2ORecCross!A146</f>
        <v>Irish Extra Stout</v>
      </c>
      <c r="B146" t="str">
        <f>H2ORecCross!B146</f>
        <v>Generic Mid Dark Ale</v>
      </c>
    </row>
    <row r="147" spans="1:2" x14ac:dyDescent="0.25">
      <c r="A147" t="str">
        <f>H2ORecCross!A147</f>
        <v>Irish Red Ale</v>
      </c>
      <c r="B147" t="str">
        <f>H2ORecCross!B147</f>
        <v>Generic Mid Amber Ale</v>
      </c>
    </row>
    <row r="148" spans="1:2" x14ac:dyDescent="0.25">
      <c r="A148" t="str">
        <f>H2ORecCross!A148</f>
        <v>Irish Stout</v>
      </c>
      <c r="B148" t="str">
        <f>H2ORecCross!B148</f>
        <v>Generic Small Dark Ale</v>
      </c>
    </row>
    <row r="149" spans="1:2" x14ac:dyDescent="0.25">
      <c r="A149" t="str">
        <f>H2ORecCross!A149</f>
        <v>Kellerbier (Amber)</v>
      </c>
      <c r="B149" t="str">
        <f>H2ORecCross!B149</f>
        <v>Generic Mid Amber Lager</v>
      </c>
    </row>
    <row r="150" spans="1:2" x14ac:dyDescent="0.25">
      <c r="A150" t="str">
        <f>H2ORecCross!A150</f>
        <v>Kellerbier (Pale)</v>
      </c>
      <c r="B150" t="str">
        <f>H2ORecCross!B150</f>
        <v>Generic Mid Pale Lager</v>
      </c>
    </row>
    <row r="151" spans="1:2" x14ac:dyDescent="0.25">
      <c r="A151" t="str">
        <f>H2ORecCross!A151</f>
        <v>Kentucky Common</v>
      </c>
      <c r="B151" t="str">
        <f>H2ORecCross!B151</f>
        <v>Generic Mid Amber Ale</v>
      </c>
    </row>
    <row r="152" spans="1:2" x14ac:dyDescent="0.25">
      <c r="A152" t="str">
        <f>H2ORecCross!A152</f>
        <v>Kölsch</v>
      </c>
      <c r="B152" t="str">
        <f>H2ORecCross!B152</f>
        <v>Generic Mid Malty Pale Ale</v>
      </c>
    </row>
    <row r="153" spans="1:2" x14ac:dyDescent="0.25">
      <c r="A153" t="str">
        <f>H2ORecCross!A153</f>
        <v>Lichtenhainer</v>
      </c>
      <c r="B153" t="str">
        <f>H2ORecCross!B153</f>
        <v>Generic Small Pale Ale</v>
      </c>
    </row>
    <row r="154" spans="1:2" x14ac:dyDescent="0.25">
      <c r="A154" t="str">
        <f>H2ORecCross!A154</f>
        <v>London Brown Ale</v>
      </c>
      <c r="B154" t="str">
        <f>H2ORecCross!B154</f>
        <v>Generic Small Dark Ale</v>
      </c>
    </row>
    <row r="155" spans="1:2" x14ac:dyDescent="0.25">
      <c r="A155" t="str">
        <f>H2ORecCross!A155</f>
        <v>Märzen</v>
      </c>
      <c r="B155" t="str">
        <f>H2ORecCross!B155</f>
        <v>Generic Mid Amber Lager</v>
      </c>
    </row>
    <row r="156" spans="1:2" x14ac:dyDescent="0.25">
      <c r="A156" t="str">
        <f>H2ORecCross!A156</f>
        <v>Munich Dunkel</v>
      </c>
      <c r="B156" t="str">
        <f>H2ORecCross!B156</f>
        <v>Generic Mid Dark Lager</v>
      </c>
    </row>
    <row r="157" spans="1:2" x14ac:dyDescent="0.25">
      <c r="A157" t="str">
        <f>H2ORecCross!A157</f>
        <v>Munich Helles</v>
      </c>
      <c r="B157" t="str">
        <f>H2ORecCross!B157</f>
        <v>Generic Small Pale Lager</v>
      </c>
    </row>
    <row r="158" spans="1:2" x14ac:dyDescent="0.25">
      <c r="A158" t="str">
        <f>H2ORecCross!A158</f>
        <v>Oatmeal Stout</v>
      </c>
      <c r="B158" t="str">
        <f>H2ORecCross!B158</f>
        <v>Generic Mid Dark Ale</v>
      </c>
    </row>
    <row r="159" spans="1:2" x14ac:dyDescent="0.25">
      <c r="A159" t="str">
        <f>H2ORecCross!A159</f>
        <v>Old Ale</v>
      </c>
      <c r="B159" t="str">
        <f>H2ORecCross!B159</f>
        <v>VikeMan's Old Ale</v>
      </c>
    </row>
    <row r="160" spans="1:2" x14ac:dyDescent="0.25">
      <c r="A160" t="str">
        <f>H2ORecCross!A160</f>
        <v>Old Ale</v>
      </c>
      <c r="B160" t="str">
        <f>H2ORecCross!B160</f>
        <v>Generic Big Amber Ale</v>
      </c>
    </row>
    <row r="161" spans="1:2" x14ac:dyDescent="0.25">
      <c r="A161" t="str">
        <f>H2ORecCross!A161</f>
        <v>Ordinary Bitter</v>
      </c>
      <c r="B161" t="str">
        <f>H2ORecCross!B161</f>
        <v>Generic Small Pale Ale</v>
      </c>
    </row>
    <row r="162" spans="1:2" x14ac:dyDescent="0.25">
      <c r="A162" t="str">
        <f>H2ORecCross!A162</f>
        <v>Piwo Grodziskie</v>
      </c>
      <c r="B162" t="str">
        <f>H2ORecCross!B162</f>
        <v>Generic Small Pale Ale</v>
      </c>
    </row>
    <row r="163" spans="1:2" x14ac:dyDescent="0.25">
      <c r="A163" t="str">
        <f>H2ORecCross!A163</f>
        <v>Pre-Prohibition Lager</v>
      </c>
      <c r="B163" t="str">
        <f>H2ORecCross!B163</f>
        <v>Generic Mid Pale Lager</v>
      </c>
    </row>
    <row r="164" spans="1:2" x14ac:dyDescent="0.25">
      <c r="A164" t="str">
        <f>H2ORecCross!A164</f>
        <v>Pre-Prohibition Porter</v>
      </c>
      <c r="B164" t="str">
        <f>H2ORecCross!B164</f>
        <v>Generic Mid Dark Ale</v>
      </c>
    </row>
    <row r="165" spans="1:2" x14ac:dyDescent="0.25">
      <c r="A165" t="str">
        <f>H2ORecCross!A165</f>
        <v>Rauchbier</v>
      </c>
      <c r="B165" t="str">
        <f>H2ORecCross!B165</f>
        <v>Generic Mid Amber Lager</v>
      </c>
    </row>
    <row r="166" spans="1:2" x14ac:dyDescent="0.25">
      <c r="A166" t="str">
        <f>H2ORecCross!A166</f>
        <v>Red IPA</v>
      </c>
      <c r="B166" t="str">
        <f>H2ORecCross!B166</f>
        <v>Generic Mid Bitter Pale Ale</v>
      </c>
    </row>
    <row r="167" spans="1:2" x14ac:dyDescent="0.25">
      <c r="A167" t="str">
        <f>H2ORecCross!A167</f>
        <v>Roggenbier</v>
      </c>
      <c r="B167" t="str">
        <f>H2ORecCross!B167</f>
        <v>Generic Mid Amber Ale</v>
      </c>
    </row>
    <row r="168" spans="1:2" x14ac:dyDescent="0.25">
      <c r="A168" t="str">
        <f>H2ORecCross!A168</f>
        <v>Rye IPA</v>
      </c>
      <c r="B168" t="str">
        <f>H2ORecCross!B168</f>
        <v>Generic Mid Bitter Pale Ale</v>
      </c>
    </row>
    <row r="169" spans="1:2" x14ac:dyDescent="0.25">
      <c r="A169" t="str">
        <f>H2ORecCross!A169</f>
        <v>Sahti</v>
      </c>
      <c r="B169" t="str">
        <f>H2ORecCross!B169</f>
        <v>Generic Big Pale Ale</v>
      </c>
    </row>
    <row r="170" spans="1:2" x14ac:dyDescent="0.25">
      <c r="A170" t="str">
        <f>H2ORecCross!A170</f>
        <v>Saison (Dark, Standard)</v>
      </c>
      <c r="B170" t="str">
        <f>H2ORecCross!B170</f>
        <v>Generic Mid Dark Ale</v>
      </c>
    </row>
    <row r="171" spans="1:2" x14ac:dyDescent="0.25">
      <c r="A171" t="str">
        <f>H2ORecCross!A171</f>
        <v>Saison (Dark, Super)</v>
      </c>
      <c r="B171" t="str">
        <f>H2ORecCross!B171</f>
        <v>Generic Big Dark Ale</v>
      </c>
    </row>
    <row r="172" spans="1:2" x14ac:dyDescent="0.25">
      <c r="A172" t="str">
        <f>H2ORecCross!A172</f>
        <v>Saison (Dark, Table)</v>
      </c>
      <c r="B172" t="str">
        <f>H2ORecCross!B172</f>
        <v>Generic Small Dark Ale</v>
      </c>
    </row>
    <row r="173" spans="1:2" x14ac:dyDescent="0.25">
      <c r="A173" t="str">
        <f>H2ORecCross!A173</f>
        <v>Saison (Pale, Standard)</v>
      </c>
      <c r="B173" t="str">
        <f>H2ORecCross!B173</f>
        <v>Generic Mid Bitter Pale Ale</v>
      </c>
    </row>
    <row r="174" spans="1:2" x14ac:dyDescent="0.25">
      <c r="A174" t="str">
        <f>H2ORecCross!A174</f>
        <v>Saison (Pale, Super)</v>
      </c>
      <c r="B174" t="str">
        <f>H2ORecCross!B174</f>
        <v>Generic Big Pale Ale</v>
      </c>
    </row>
    <row r="175" spans="1:2" x14ac:dyDescent="0.25">
      <c r="A175" t="str">
        <f>H2ORecCross!A175</f>
        <v>Saison (Pale, Table)</v>
      </c>
      <c r="B175" t="str">
        <f>H2ORecCross!B175</f>
        <v>Generic Small Pale Ale</v>
      </c>
    </row>
    <row r="176" spans="1:2" x14ac:dyDescent="0.25">
      <c r="A176" t="str">
        <f>H2ORecCross!A176</f>
        <v>Schwarzbier</v>
      </c>
      <c r="B176" t="str">
        <f>H2ORecCross!B176</f>
        <v>Generic Mid Dark Lager</v>
      </c>
    </row>
    <row r="177" spans="1:2" x14ac:dyDescent="0.25">
      <c r="A177" t="str">
        <f>H2ORecCross!A177</f>
        <v>Scottish Export</v>
      </c>
      <c r="B177" t="str">
        <f>H2ORecCross!B177</f>
        <v>Generic Mid Amber Ale</v>
      </c>
    </row>
    <row r="178" spans="1:2" x14ac:dyDescent="0.25">
      <c r="A178" t="str">
        <f>H2ORecCross!A178</f>
        <v>Scottish Heavy</v>
      </c>
      <c r="B178" t="str">
        <f>H2ORecCross!B178</f>
        <v>Generic Small Amber Ale</v>
      </c>
    </row>
    <row r="179" spans="1:2" x14ac:dyDescent="0.25">
      <c r="A179" t="str">
        <f>H2ORecCross!A179</f>
        <v>Scottish Light</v>
      </c>
      <c r="B179" t="str">
        <f>H2ORecCross!B179</f>
        <v>Generic Small Amber Ale</v>
      </c>
    </row>
    <row r="180" spans="1:2" x14ac:dyDescent="0.25">
      <c r="A180" t="str">
        <f>H2ORecCross!A180</f>
        <v>Strong Bitter</v>
      </c>
      <c r="B180" t="str">
        <f>H2ORecCross!B180</f>
        <v>Generic Mid Amber Ale</v>
      </c>
    </row>
    <row r="181" spans="1:2" x14ac:dyDescent="0.25">
      <c r="A181" t="str">
        <f>H2ORecCross!A181</f>
        <v>Sweet Stout</v>
      </c>
      <c r="B181" t="str">
        <f>H2ORecCross!B181</f>
        <v>Ward G. Walkup IV's Matrimonial Milk Stout</v>
      </c>
    </row>
    <row r="182" spans="1:2" x14ac:dyDescent="0.25">
      <c r="A182" t="str">
        <f>H2ORecCross!A182</f>
        <v>Sweet Stout</v>
      </c>
      <c r="B182" t="str">
        <f>H2ORecCross!B182</f>
        <v>Generic Mid Dark Ale</v>
      </c>
    </row>
    <row r="183" spans="1:2" x14ac:dyDescent="0.25">
      <c r="A183" t="str">
        <f>H2ORecCross!A183</f>
        <v>Trappist Single</v>
      </c>
      <c r="B183" t="str">
        <f>H2ORecCross!B183</f>
        <v>Generic Mid Bitter Pale Ale</v>
      </c>
    </row>
    <row r="184" spans="1:2" x14ac:dyDescent="0.25">
      <c r="A184" t="str">
        <f>H2ORecCross!A184</f>
        <v>Tropical Stout</v>
      </c>
      <c r="B184" t="str">
        <f>H2ORecCross!B184</f>
        <v>Generic Big Dark Lager</v>
      </c>
    </row>
    <row r="185" spans="1:2" x14ac:dyDescent="0.25">
      <c r="A185" t="str">
        <f>H2ORecCross!A185</f>
        <v>Vienna Lager</v>
      </c>
      <c r="B185" t="str">
        <f>H2ORecCross!B185</f>
        <v>VikeMan's Vienna</v>
      </c>
    </row>
    <row r="186" spans="1:2" x14ac:dyDescent="0.25">
      <c r="A186" t="str">
        <f>H2ORecCross!A186</f>
        <v>Vienna Lager</v>
      </c>
      <c r="B186" t="str">
        <f>H2ORecCross!B186</f>
        <v>Generic Mid Amber Lager</v>
      </c>
    </row>
    <row r="187" spans="1:2" x14ac:dyDescent="0.25">
      <c r="A187" t="str">
        <f>H2ORecCross!A187</f>
        <v>Wee Heavy</v>
      </c>
      <c r="B187" t="str">
        <f>H2ORecCross!B187</f>
        <v>Generic Big Amber Ale</v>
      </c>
    </row>
    <row r="188" spans="1:2" x14ac:dyDescent="0.25">
      <c r="A188" t="str">
        <f>H2ORecCross!A188</f>
        <v>Weissbier</v>
      </c>
      <c r="B188" t="str">
        <f>H2ORecCross!B188</f>
        <v>Generic Mid Malty Pale Ale</v>
      </c>
    </row>
    <row r="189" spans="1:2" x14ac:dyDescent="0.25">
      <c r="A189" t="str">
        <f>H2ORecCross!A189</f>
        <v>Weizenbock</v>
      </c>
      <c r="B189" t="str">
        <f>H2ORecCross!B189</f>
        <v>Generic Big Amber Ale</v>
      </c>
    </row>
    <row r="190" spans="1:2" x14ac:dyDescent="0.25">
      <c r="A190" t="str">
        <f>H2ORecCross!A190</f>
        <v>Wheatwine</v>
      </c>
      <c r="B190" t="str">
        <f>H2ORecCross!B190</f>
        <v>Generic Big Amber Ale</v>
      </c>
    </row>
    <row r="191" spans="1:2" x14ac:dyDescent="0.25">
      <c r="A191" t="str">
        <f>H2ORecCross!A191</f>
        <v>White IPA</v>
      </c>
      <c r="B191" t="str">
        <f>H2ORecCross!B191</f>
        <v>Generic Mid Bitter Pale Ale</v>
      </c>
    </row>
    <row r="192" spans="1:2" x14ac:dyDescent="0.25">
      <c r="A192" t="str">
        <f>H2ORecCross!A192</f>
        <v>Witbier</v>
      </c>
      <c r="B192" t="str">
        <f>H2ORecCross!B192</f>
        <v>Generic Mid Malty Pale Ale</v>
      </c>
    </row>
    <row r="193" spans="1:2" x14ac:dyDescent="0.25">
      <c r="A193">
        <f>H2ORecCross!A193</f>
        <v>0</v>
      </c>
      <c r="B193">
        <f>H2ORecCross!B193</f>
        <v>0</v>
      </c>
    </row>
    <row r="194" spans="1:2" x14ac:dyDescent="0.25">
      <c r="A194">
        <f>H2ORecCross!A194</f>
        <v>0</v>
      </c>
      <c r="B194">
        <f>H2ORecCross!B194</f>
        <v>0</v>
      </c>
    </row>
    <row r="195" spans="1:2" x14ac:dyDescent="0.25">
      <c r="A195">
        <f>H2ORecCross!A195</f>
        <v>0</v>
      </c>
      <c r="B195">
        <f>H2ORecCross!B195</f>
        <v>0</v>
      </c>
    </row>
    <row r="196" spans="1:2" x14ac:dyDescent="0.25">
      <c r="A196">
        <f>H2ORecCross!A196</f>
        <v>0</v>
      </c>
      <c r="B196">
        <f>H2ORecCross!B196</f>
        <v>0</v>
      </c>
    </row>
    <row r="197" spans="1:2" x14ac:dyDescent="0.25">
      <c r="A197">
        <f>H2ORecCross!A197</f>
        <v>0</v>
      </c>
      <c r="B197">
        <f>H2ORecCross!B197</f>
        <v>0</v>
      </c>
    </row>
    <row r="198" spans="1:2" x14ac:dyDescent="0.25">
      <c r="A198">
        <f>H2ORecCross!A198</f>
        <v>0</v>
      </c>
      <c r="B198">
        <f>H2ORecCross!B198</f>
        <v>0</v>
      </c>
    </row>
    <row r="199" spans="1:2" x14ac:dyDescent="0.25">
      <c r="A199">
        <f>H2ORecCross!A199</f>
        <v>0</v>
      </c>
      <c r="B199">
        <f>H2ORecCross!B199</f>
        <v>0</v>
      </c>
    </row>
    <row r="200" spans="1:2" x14ac:dyDescent="0.25">
      <c r="A200">
        <f>H2ORecCross!A200</f>
        <v>0</v>
      </c>
      <c r="B200">
        <f>H2ORecCross!B200</f>
        <v>0</v>
      </c>
    </row>
    <row r="201" spans="1:2" x14ac:dyDescent="0.25">
      <c r="A201" t="str">
        <f>IF(B201&gt;0, Recipe!$H$9, "")</f>
        <v>08-English IPA</v>
      </c>
      <c r="B201" t="str">
        <f>UserH20Profiles!A2</f>
        <v>Altbier, Steam, ESB, Ir. Red, Am. Amber, Eng. IPA, Roggenbier, Bel. Pale</v>
      </c>
    </row>
    <row r="202" spans="1:2" x14ac:dyDescent="0.25">
      <c r="A202" t="str">
        <f>IF(B202&gt;0, Recipe!$H$9, "")</f>
        <v>08-English IPA</v>
      </c>
      <c r="B202" t="str">
        <f>UserH20Profiles!A3</f>
        <v>Am. Brown, English Brown, Brown Porter, Misc. Stouts, Dunkelweizen</v>
      </c>
    </row>
    <row r="203" spans="1:2" x14ac:dyDescent="0.25">
      <c r="A203" t="str">
        <f>IF(B203&gt;0, Recipe!$H$9, "")</f>
        <v>08-English IPA</v>
      </c>
      <c r="B203" t="str">
        <f>UserH20Profiles!A4</f>
        <v>Am. Premium, German Pils, CAP, Dortmunder Export</v>
      </c>
    </row>
    <row r="204" spans="1:2" x14ac:dyDescent="0.25">
      <c r="A204" t="str">
        <f>IF(B204&gt;0, Recipe!$H$9, "")</f>
        <v>08-English IPA</v>
      </c>
      <c r="B204" t="str">
        <f>UserH20Profiles!A5</f>
        <v>American Dark, Munich Dunkel, Schwarzbier</v>
      </c>
    </row>
    <row r="205" spans="1:2" x14ac:dyDescent="0.25">
      <c r="A205" t="str">
        <f>IF(B205&gt;0, Recipe!$H$9, "")</f>
        <v>08-English IPA</v>
      </c>
      <c r="B205" t="str">
        <f>UserH20Profiles!A6</f>
        <v>APA, AXPA, Saison, AIPA, IIPA</v>
      </c>
    </row>
    <row r="206" spans="1:2" x14ac:dyDescent="0.25">
      <c r="A206" t="str">
        <f>IF(B206&gt;0, Recipe!$H$9, "")</f>
        <v>08-English IPA</v>
      </c>
      <c r="B206" t="str">
        <f>UserH20Profiles!A7</f>
        <v>Baltic Porter, FES, Am. Stout, RIS, Weizenbock, BSDA, Old Ale</v>
      </c>
    </row>
    <row r="207" spans="1:2" x14ac:dyDescent="0.25">
      <c r="A207" t="str">
        <f>IF(B207&gt;0, Recipe!$H$9, "")</f>
        <v>08-English IPA</v>
      </c>
      <c r="B207" t="str">
        <f>UserH20Profiles!A8</f>
        <v>Belgian Blonde, Golden Strong, Tripel</v>
      </c>
    </row>
    <row r="208" spans="1:2" x14ac:dyDescent="0.25">
      <c r="A208" t="str">
        <f>IF(B208&gt;0, Recipe!$H$9, "")</f>
        <v>08-English IPA</v>
      </c>
      <c r="B208" t="str">
        <f>UserH20Profiles!A9</f>
        <v>Blonde, Am. Wheat, Bitter, Best Bitter</v>
      </c>
    </row>
    <row r="209" spans="1:2" x14ac:dyDescent="0.25">
      <c r="A209" t="str">
        <f>IF(B209&gt;0, Recipe!$H$9, "")</f>
        <v>08-English IPA</v>
      </c>
      <c r="B209" t="str">
        <f>UserH20Profiles!A10</f>
        <v>Bock, Doppelbock, Eisbock, Baltic Porter</v>
      </c>
    </row>
    <row r="210" spans="1:2" x14ac:dyDescent="0.25">
      <c r="A210" t="str">
        <f>IF(B210&gt;0, Recipe!$H$9, "")</f>
        <v>08-English IPA</v>
      </c>
      <c r="B210" t="str">
        <f>UserH20Profiles!A11</f>
        <v>Boiled Dublin Water Profile (Zymurgy Nov/Dec 2013)</v>
      </c>
    </row>
    <row r="211" spans="1:2" x14ac:dyDescent="0.25">
      <c r="A211" t="str">
        <f>IF(B211&gt;0, Recipe!$H$9, "")</f>
        <v>08-English IPA</v>
      </c>
      <c r="B211" t="str">
        <f>UserH20Profiles!A12</f>
        <v>Burton Pale Ale Profile (Zymurgy Jan/Feb 2014)</v>
      </c>
    </row>
    <row r="212" spans="1:2" x14ac:dyDescent="0.25">
      <c r="A212" t="str">
        <f>IF(B212&gt;0, Recipe!$H$9, "")</f>
        <v>08-English IPA</v>
      </c>
      <c r="B212" t="str">
        <f>UserH20Profiles!A13</f>
        <v>Burton-on-Trent</v>
      </c>
    </row>
    <row r="213" spans="1:2" x14ac:dyDescent="0.25">
      <c r="A213" t="str">
        <f>IF(B213&gt;0, Recipe!$H$9, "")</f>
        <v>08-English IPA</v>
      </c>
      <c r="B213" t="str">
        <f>UserH20Profiles!A14</f>
        <v>Dark German Lagers, Bocks (Moderately Alkaline Water)</v>
      </c>
    </row>
    <row r="214" spans="1:2" x14ac:dyDescent="0.25">
      <c r="A214" t="str">
        <f>IF(B214&gt;0, Recipe!$H$9, "")</f>
        <v>08-English IPA</v>
      </c>
      <c r="B214" t="str">
        <f>UserH20Profiles!A15</f>
        <v>Edinbugh</v>
      </c>
    </row>
    <row r="215" spans="1:2" x14ac:dyDescent="0.25">
      <c r="A215" t="str">
        <f>IF(B215&gt;0, Recipe!$H$9, "")</f>
        <v>08-English IPA</v>
      </c>
      <c r="B215" t="str">
        <f>UserH20Profiles!A16</f>
        <v>English Brown, Brown Porter, Dry Stout</v>
      </c>
    </row>
    <row r="216" spans="1:2" x14ac:dyDescent="0.25">
      <c r="A216" t="str">
        <f>IF(B216&gt;0, Recipe!$H$9, "")</f>
        <v>08-English IPA</v>
      </c>
      <c r="B216" t="str">
        <f>UserH20Profiles!A17</f>
        <v>Ft Collins source</v>
      </c>
    </row>
    <row r="217" spans="1:2" x14ac:dyDescent="0.25">
      <c r="A217" t="str">
        <f>IF(B217&gt;0, Recipe!$H$9, "")</f>
        <v>08-English IPA</v>
      </c>
      <c r="B217" t="str">
        <f>UserH20Profiles!A18</f>
        <v>German or American Pils (Pilsner Water)</v>
      </c>
    </row>
    <row r="218" spans="1:2" x14ac:dyDescent="0.25">
      <c r="A218" t="str">
        <f>IF(B218&gt;0, Recipe!$H$9, "")</f>
        <v>08-English IPA</v>
      </c>
      <c r="B218" t="str">
        <f>UserH20Profiles!A19</f>
        <v>Helles/Maibock, Bock, Doppelbock</v>
      </c>
    </row>
    <row r="219" spans="1:2" x14ac:dyDescent="0.25">
      <c r="A219" t="str">
        <f>IF(B219&gt;0, Recipe!$H$9, "")</f>
        <v>08-English IPA</v>
      </c>
      <c r="B219" t="str">
        <f>UserH20Profiles!A20</f>
        <v>Juicy Bits</v>
      </c>
    </row>
    <row r="220" spans="1:2" x14ac:dyDescent="0.25">
      <c r="A220" t="str">
        <f>IF(B220&gt;0, Recipe!$H$9, "")</f>
        <v>08-English IPA</v>
      </c>
      <c r="B220" t="str">
        <f>UserH20Profiles!A21</f>
        <v>Lite/Standard Am. Lager, Munich Helles, Bohemian Pils</v>
      </c>
    </row>
    <row r="221" spans="1:2" x14ac:dyDescent="0.25">
      <c r="A221" t="str">
        <f>IF(B221&gt;0, Recipe!$H$9, "")</f>
        <v>08-English IPA</v>
      </c>
      <c r="B221" t="str">
        <f>UserH20Profiles!A22</f>
        <v>Maxline ESB</v>
      </c>
    </row>
    <row r="222" spans="1:2" x14ac:dyDescent="0.25">
      <c r="A222" t="str">
        <f>IF(B222&gt;0, Recipe!$H$9, "")</f>
        <v>08-English IPA</v>
      </c>
      <c r="B222" t="str">
        <f>UserH20Profiles!A23</f>
        <v>Mild, Scottish 60/70/80, Bitter, Best Bitter</v>
      </c>
    </row>
    <row r="223" spans="1:2" x14ac:dyDescent="0.25">
      <c r="A223" t="str">
        <f>IF(B223&gt;0, Recipe!$H$9, "")</f>
        <v>08-English IPA</v>
      </c>
      <c r="B223" t="str">
        <f>UserH20Profiles!A24</f>
        <v>Munich Helles / Pils, Weissbier Hell, Koelsch (Very Soft Water)</v>
      </c>
    </row>
    <row r="224" spans="1:2" x14ac:dyDescent="0.25">
      <c r="A224" t="str">
        <f>IF(B224&gt;0, Recipe!$H$9, "")</f>
        <v>08-English IPA</v>
      </c>
      <c r="B224" t="str">
        <f>UserH20Profiles!A25</f>
        <v>Munich Helles and Weissbier (light and amber) (Weihenstephan School Water)</v>
      </c>
    </row>
    <row r="225" spans="1:2" x14ac:dyDescent="0.25">
      <c r="A225" t="str">
        <f>IF(B225&gt;0, Recipe!$H$9, "")</f>
        <v>08-English IPA</v>
      </c>
      <c r="B225" t="str">
        <f>UserH20Profiles!A26</f>
        <v>Neue altbier</v>
      </c>
    </row>
    <row r="226" spans="1:2" x14ac:dyDescent="0.25">
      <c r="A226" t="str">
        <f>IF(B226&gt;0, Recipe!$H$9, "")</f>
        <v>08-English IPA</v>
      </c>
      <c r="B226" t="str">
        <f>UserH20Profiles!A27</f>
        <v>Recommended Bavarian Water Profile (Zymurgy Mar/Apr 2014)</v>
      </c>
    </row>
    <row r="227" spans="1:2" x14ac:dyDescent="0.25">
      <c r="A227" t="str">
        <f>IF(B227&gt;0, Recipe!$H$9, "")</f>
        <v>08-English IPA</v>
      </c>
      <c r="B227" t="str">
        <f>UserH20Profiles!A28</f>
        <v>Strong Scotch Ale, Biere de Garde, Dubbel, Old Ale, Barleywine</v>
      </c>
    </row>
    <row r="228" spans="1:2" x14ac:dyDescent="0.25">
      <c r="A228" t="str">
        <f>IF(B228&gt;0, Recipe!$H$9, "")</f>
        <v>08-English IPA</v>
      </c>
      <c r="B228" t="str">
        <f>UserH20Profiles!A29</f>
        <v>Suggested London Pale Ale Profile (Zymurgy May/Jun 2014)</v>
      </c>
    </row>
    <row r="229" spans="1:2" x14ac:dyDescent="0.25">
      <c r="A229" t="str">
        <f>IF(B229&gt;0, Recipe!$H$9, "")</f>
        <v>08-English IPA</v>
      </c>
      <c r="B229" t="str">
        <f>UserH20Profiles!A30</f>
        <v>Vienna, Oktoberfest-Maerzen</v>
      </c>
    </row>
    <row r="230" spans="1:2" x14ac:dyDescent="0.25">
      <c r="A230" t="str">
        <f>IF(B230&gt;0, Recipe!$H$9, "")</f>
        <v>08-English IPA</v>
      </c>
      <c r="B230" t="str">
        <f>UserH20Profiles!A31</f>
        <v>Weizen, Witbier, Cream Ale, Blonde Ale, Koelsch</v>
      </c>
    </row>
    <row r="231" spans="1:2" x14ac:dyDescent="0.25">
      <c r="A231" t="str">
        <f>IF(B231&gt;0, Recipe!$H$9, "")</f>
        <v>08-English IPA</v>
      </c>
      <c r="B231" t="str">
        <f>UserH20Profiles!A32</f>
        <v>Pilsener, Pilsen (Palmer)</v>
      </c>
    </row>
    <row r="232" spans="1:2" x14ac:dyDescent="0.25">
      <c r="A232" t="str">
        <f>IF(B232&gt;0, Recipe!$H$9, "")</f>
        <v>08-English IPA</v>
      </c>
      <c r="B232" t="str">
        <f>UserH20Profiles!A33</f>
        <v>Export Lager, Dortmund (Palmer)</v>
      </c>
    </row>
    <row r="233" spans="1:2" x14ac:dyDescent="0.25">
      <c r="A233" t="str">
        <f>IF(B233&gt;0, Recipe!$H$9, "")</f>
        <v>08-English IPA</v>
      </c>
      <c r="B233" t="str">
        <f>UserH20Profiles!A34</f>
        <v>Vienna Lager, Vienna (Palmer)</v>
      </c>
    </row>
    <row r="234" spans="1:2" x14ac:dyDescent="0.25">
      <c r="A234" t="str">
        <f>IF(B234&gt;0, Recipe!$H$9, "")</f>
        <v>08-English IPA</v>
      </c>
      <c r="B234" t="str">
        <f>UserH20Profiles!A35</f>
        <v>Oktoberfest, Munich (Palmer)</v>
      </c>
    </row>
    <row r="235" spans="1:2" x14ac:dyDescent="0.25">
      <c r="A235" t="str">
        <f>IF(B235&gt;0, Recipe!$H$9, "")</f>
        <v>08-English IPA</v>
      </c>
      <c r="B235" t="str">
        <f>UserH20Profiles!A36</f>
        <v>British Bitter, London (Palmer)</v>
      </c>
    </row>
    <row r="236" spans="1:2" x14ac:dyDescent="0.25">
      <c r="A236" t="str">
        <f>IF(B236&gt;0, Recipe!$H$9, "")</f>
        <v>08-English IPA</v>
      </c>
      <c r="B236" t="str">
        <f>UserH20Profiles!A37</f>
        <v>Scottish Ale, Edinburgh (Palmer)</v>
      </c>
    </row>
    <row r="237" spans="1:2" x14ac:dyDescent="0.25">
      <c r="A237" t="str">
        <f>IF(B237&gt;0, Recipe!$H$9, "")</f>
        <v>08-English IPA</v>
      </c>
      <c r="B237" t="str">
        <f>UserH20Profiles!A38</f>
        <v>India Pale Ale, Burton (Palmer)</v>
      </c>
    </row>
    <row r="238" spans="1:2" x14ac:dyDescent="0.25">
      <c r="A238" t="str">
        <f>IF(B238&gt;0, Recipe!$H$9, "")</f>
        <v>08-English IPA</v>
      </c>
      <c r="B238" t="str">
        <f>UserH20Profiles!A39</f>
        <v>Dry Stout, Dublin (Palmer)</v>
      </c>
    </row>
    <row r="239" spans="1:2" x14ac:dyDescent="0.25">
      <c r="A239" t="str">
        <f>IF(B239&gt;0, Recipe!$H$9, "")</f>
        <v>08-English IPA</v>
      </c>
      <c r="B239" t="str">
        <f>UserH20Profiles!A40</f>
        <v>Belgium (exc Blaugies)</v>
      </c>
    </row>
    <row r="240" spans="1:2" x14ac:dyDescent="0.25">
      <c r="A240" t="str">
        <f>IF(B240&gt;0, Recipe!$H$9, "")</f>
        <v/>
      </c>
      <c r="B240">
        <f>UserH20Profiles!A41</f>
        <v>0</v>
      </c>
    </row>
    <row r="241" spans="1:2" x14ac:dyDescent="0.25">
      <c r="A241" t="str">
        <f>IF(B241&gt;0, Recipe!$H$9, "")</f>
        <v/>
      </c>
      <c r="B241">
        <f>UserH20Profiles!A42</f>
        <v>0</v>
      </c>
    </row>
    <row r="242" spans="1:2" x14ac:dyDescent="0.25">
      <c r="A242" t="str">
        <f>IF(B242&gt;0, Recipe!$H$9, "")</f>
        <v/>
      </c>
      <c r="B242">
        <f>UserH20Profiles!A43</f>
        <v>0</v>
      </c>
    </row>
    <row r="243" spans="1:2" x14ac:dyDescent="0.25">
      <c r="A243" t="str">
        <f>IF(B243&gt;0, Recipe!$H$9, "")</f>
        <v/>
      </c>
      <c r="B243">
        <f>UserH20Profiles!A44</f>
        <v>0</v>
      </c>
    </row>
    <row r="244" spans="1:2" x14ac:dyDescent="0.25">
      <c r="A244" t="str">
        <f>IF(B244&gt;0, Recipe!$H$9, "")</f>
        <v/>
      </c>
      <c r="B244">
        <f>UserH20Profiles!A45</f>
        <v>0</v>
      </c>
    </row>
    <row r="245" spans="1:2" x14ac:dyDescent="0.25">
      <c r="A245" t="str">
        <f>IF(B245&gt;0, Recipe!$H$9, "")</f>
        <v/>
      </c>
      <c r="B245">
        <f>UserH20Profiles!A46</f>
        <v>0</v>
      </c>
    </row>
    <row r="246" spans="1:2" x14ac:dyDescent="0.25">
      <c r="A246" t="str">
        <f>IF(B246&gt;0, Recipe!$H$9, "")</f>
        <v/>
      </c>
      <c r="B246">
        <f>UserH20Profiles!A47</f>
        <v>0</v>
      </c>
    </row>
    <row r="247" spans="1:2" x14ac:dyDescent="0.25">
      <c r="A247" t="str">
        <f>IF(B247&gt;0, Recipe!$H$9, "")</f>
        <v/>
      </c>
      <c r="B247">
        <f>UserH20Profiles!A48</f>
        <v>0</v>
      </c>
    </row>
    <row r="248" spans="1:2" x14ac:dyDescent="0.25">
      <c r="A248" t="str">
        <f>IF(B248&gt;0, Recipe!$H$9, "")</f>
        <v/>
      </c>
      <c r="B248">
        <f>UserH20Profiles!A49</f>
        <v>0</v>
      </c>
    </row>
    <row r="249" spans="1:2" x14ac:dyDescent="0.25">
      <c r="A249" t="str">
        <f>IF(B249&gt;0, Recipe!$H$9, "")</f>
        <v/>
      </c>
      <c r="B249">
        <f>UserH20Profiles!A50</f>
        <v>0</v>
      </c>
    </row>
    <row r="250" spans="1:2" x14ac:dyDescent="0.25">
      <c r="A250" t="str">
        <f>IF(B250&gt;0, Recipe!$H$9, "")</f>
        <v/>
      </c>
      <c r="B250">
        <f>UserH20Profiles!A51</f>
        <v>0</v>
      </c>
    </row>
    <row r="251" spans="1:2" x14ac:dyDescent="0.25">
      <c r="A251" t="str">
        <f>IF(B251&gt;0, Recipe!$H$9, "")</f>
        <v/>
      </c>
      <c r="B251">
        <f>UserH20Profiles!A52</f>
        <v>0</v>
      </c>
    </row>
    <row r="252" spans="1:2" x14ac:dyDescent="0.25">
      <c r="A252" t="str">
        <f>IF(B252&gt;0, Recipe!$H$9, "")</f>
        <v/>
      </c>
      <c r="B252">
        <f>UserH20Profiles!A53</f>
        <v>0</v>
      </c>
    </row>
    <row r="253" spans="1:2" x14ac:dyDescent="0.25">
      <c r="A253" t="str">
        <f>IF(B253&gt;0, Recipe!$H$9, "")</f>
        <v/>
      </c>
      <c r="B253">
        <f>UserH20Profiles!A54</f>
        <v>0</v>
      </c>
    </row>
    <row r="254" spans="1:2" x14ac:dyDescent="0.25">
      <c r="A254" t="str">
        <f>IF(B254&gt;0, Recipe!$H$9, "")</f>
        <v/>
      </c>
      <c r="B254">
        <f>UserH20Profiles!A55</f>
        <v>0</v>
      </c>
    </row>
    <row r="255" spans="1:2" x14ac:dyDescent="0.25">
      <c r="A255" t="str">
        <f>IF(B255&gt;0, Recipe!$H$9, "")</f>
        <v/>
      </c>
      <c r="B255">
        <f>UserH20Profiles!A56</f>
        <v>0</v>
      </c>
    </row>
    <row r="256" spans="1:2" x14ac:dyDescent="0.25">
      <c r="A256" t="str">
        <f>IF(B256&gt;0, Recipe!$H$9, "")</f>
        <v/>
      </c>
      <c r="B256">
        <f>UserH20Profiles!A57</f>
        <v>0</v>
      </c>
    </row>
    <row r="257" spans="1:2" x14ac:dyDescent="0.25">
      <c r="A257" t="str">
        <f>IF(B257&gt;0, Recipe!$H$9, "")</f>
        <v/>
      </c>
      <c r="B257">
        <f>UserH20Profiles!A58</f>
        <v>0</v>
      </c>
    </row>
    <row r="258" spans="1:2" x14ac:dyDescent="0.25">
      <c r="A258" t="str">
        <f>IF(B258&gt;0, Recipe!$H$9, "")</f>
        <v/>
      </c>
      <c r="B258">
        <f>UserH20Profiles!A59</f>
        <v>0</v>
      </c>
    </row>
    <row r="259" spans="1:2" x14ac:dyDescent="0.25">
      <c r="A259" t="str">
        <f>IF(B259&gt;0, Recipe!$H$9, "")</f>
        <v/>
      </c>
      <c r="B259">
        <f>UserH20Profiles!A60</f>
        <v>0</v>
      </c>
    </row>
    <row r="260" spans="1:2" x14ac:dyDescent="0.25">
      <c r="A260" t="str">
        <f>IF(B260&gt;0, Recipe!$H$9, "")</f>
        <v/>
      </c>
      <c r="B260">
        <f>UserH20Profiles!A61</f>
        <v>0</v>
      </c>
    </row>
    <row r="261" spans="1:2" x14ac:dyDescent="0.25">
      <c r="A261" t="str">
        <f>IF(B261&gt;0, Recipe!$H$9, "")</f>
        <v/>
      </c>
      <c r="B261">
        <f>UserH20Profiles!A62</f>
        <v>0</v>
      </c>
    </row>
    <row r="262" spans="1:2" x14ac:dyDescent="0.25">
      <c r="A262" t="str">
        <f>IF(B262&gt;0, Recipe!$H$9, "")</f>
        <v/>
      </c>
      <c r="B262">
        <f>UserH20Profiles!A63</f>
        <v>0</v>
      </c>
    </row>
    <row r="263" spans="1:2" x14ac:dyDescent="0.25">
      <c r="A263" t="str">
        <f>IF(B263&gt;0, Recipe!$H$9, "")</f>
        <v/>
      </c>
      <c r="B263">
        <f>UserH20Profiles!A64</f>
        <v>0</v>
      </c>
    </row>
    <row r="264" spans="1:2" x14ac:dyDescent="0.25">
      <c r="A264" t="str">
        <f>IF(B264&gt;0, Recipe!$H$9, "")</f>
        <v/>
      </c>
      <c r="B264">
        <f>UserH20Profiles!A65</f>
        <v>0</v>
      </c>
    </row>
    <row r="265" spans="1:2" x14ac:dyDescent="0.25">
      <c r="A265" t="str">
        <f>IF(B265&gt;0, Recipe!$H$9, "")</f>
        <v/>
      </c>
      <c r="B265">
        <f>UserH20Profiles!A66</f>
        <v>0</v>
      </c>
    </row>
    <row r="266" spans="1:2" x14ac:dyDescent="0.25">
      <c r="A266" t="str">
        <f>IF(B266&gt;0, Recipe!$H$9, "")</f>
        <v/>
      </c>
      <c r="B266">
        <f>UserH20Profiles!A67</f>
        <v>0</v>
      </c>
    </row>
    <row r="267" spans="1:2" x14ac:dyDescent="0.25">
      <c r="A267" t="str">
        <f>IF(B267&gt;0, Recipe!$H$9, "")</f>
        <v/>
      </c>
      <c r="B267">
        <f>UserH20Profiles!A68</f>
        <v>0</v>
      </c>
    </row>
    <row r="268" spans="1:2" x14ac:dyDescent="0.25">
      <c r="A268" t="str">
        <f>IF(B268&gt;0, Recipe!$H$9, "")</f>
        <v/>
      </c>
      <c r="B268">
        <f>UserH20Profiles!A69</f>
        <v>0</v>
      </c>
    </row>
    <row r="269" spans="1:2" x14ac:dyDescent="0.25">
      <c r="A269" t="str">
        <f>IF(B269&gt;0, Recipe!$H$9, "")</f>
        <v/>
      </c>
      <c r="B269">
        <f>UserH20Profiles!A70</f>
        <v>0</v>
      </c>
    </row>
    <row r="270" spans="1:2" x14ac:dyDescent="0.25">
      <c r="A270" t="str">
        <f>IF(B270&gt;0, Recipe!$H$9, "")</f>
        <v/>
      </c>
      <c r="B270">
        <f>UserH20Profiles!A71</f>
        <v>0</v>
      </c>
    </row>
    <row r="271" spans="1:2" x14ac:dyDescent="0.25">
      <c r="A271" t="str">
        <f>IF(B271&gt;0, Recipe!$H$9, "")</f>
        <v/>
      </c>
      <c r="B271">
        <f>UserH20Profiles!A72</f>
        <v>0</v>
      </c>
    </row>
    <row r="272" spans="1:2" x14ac:dyDescent="0.25">
      <c r="A272" t="str">
        <f>IF(B272&gt;0, Recipe!$H$9, "")</f>
        <v/>
      </c>
      <c r="B272">
        <f>UserH20Profiles!A73</f>
        <v>0</v>
      </c>
    </row>
    <row r="273" spans="1:2" x14ac:dyDescent="0.25">
      <c r="A273" t="str">
        <f>IF(B273&gt;0, Recipe!$H$9, "")</f>
        <v/>
      </c>
      <c r="B273">
        <f>UserH20Profiles!A74</f>
        <v>0</v>
      </c>
    </row>
    <row r="274" spans="1:2" x14ac:dyDescent="0.25">
      <c r="A274" t="str">
        <f>IF(B274&gt;0, Recipe!$H$9, "")</f>
        <v/>
      </c>
      <c r="B274">
        <f>UserH20Profiles!A75</f>
        <v>0</v>
      </c>
    </row>
    <row r="275" spans="1:2" x14ac:dyDescent="0.25">
      <c r="A275" t="str">
        <f>IF(B275&gt;0, Recipe!$H$9, "")</f>
        <v/>
      </c>
      <c r="B275">
        <f>UserH20Profiles!A76</f>
        <v>0</v>
      </c>
    </row>
    <row r="276" spans="1:2" x14ac:dyDescent="0.25">
      <c r="A276" t="str">
        <f>IF(B276&gt;0, Recipe!$H$9, "")</f>
        <v/>
      </c>
      <c r="B276">
        <f>UserH20Profiles!A77</f>
        <v>0</v>
      </c>
    </row>
    <row r="277" spans="1:2" x14ac:dyDescent="0.25">
      <c r="A277" t="str">
        <f>IF(B277&gt;0, Recipe!$H$9, "")</f>
        <v/>
      </c>
      <c r="B277">
        <f>UserH20Profiles!A78</f>
        <v>0</v>
      </c>
    </row>
    <row r="278" spans="1:2" x14ac:dyDescent="0.25">
      <c r="A278" t="str">
        <f>IF(B278&gt;0, Recipe!$H$9, "")</f>
        <v/>
      </c>
      <c r="B278">
        <f>UserH20Profiles!A79</f>
        <v>0</v>
      </c>
    </row>
    <row r="279" spans="1:2" x14ac:dyDescent="0.25">
      <c r="A279" t="str">
        <f>IF(B279&gt;0, Recipe!$H$9, "")</f>
        <v/>
      </c>
      <c r="B279">
        <f>UserH20Profiles!A80</f>
        <v>0</v>
      </c>
    </row>
    <row r="280" spans="1:2" x14ac:dyDescent="0.25">
      <c r="A280" t="str">
        <f>IF(B280&gt;0, Recipe!$H$9, "")</f>
        <v/>
      </c>
      <c r="B280">
        <f>UserH20Profiles!A81</f>
        <v>0</v>
      </c>
    </row>
    <row r="281" spans="1:2" x14ac:dyDescent="0.25">
      <c r="A281" t="str">
        <f>IF(B281&gt;0, Recipe!$H$9, "")</f>
        <v/>
      </c>
      <c r="B281">
        <f>UserH20Profiles!A82</f>
        <v>0</v>
      </c>
    </row>
    <row r="282" spans="1:2" x14ac:dyDescent="0.25">
      <c r="A282" t="str">
        <f>IF(B282&gt;0, Recipe!$H$9, "")</f>
        <v/>
      </c>
      <c r="B282">
        <f>UserH20Profiles!A83</f>
        <v>0</v>
      </c>
    </row>
    <row r="283" spans="1:2" x14ac:dyDescent="0.25">
      <c r="A283" t="str">
        <f>IF(B283&gt;0, Recipe!$H$9, "")</f>
        <v/>
      </c>
      <c r="B283">
        <f>UserH20Profiles!A84</f>
        <v>0</v>
      </c>
    </row>
    <row r="284" spans="1:2" x14ac:dyDescent="0.25">
      <c r="A284" t="str">
        <f>IF(B284&gt;0, Recipe!$H$9, "")</f>
        <v/>
      </c>
      <c r="B284">
        <f>UserH20Profiles!A85</f>
        <v>0</v>
      </c>
    </row>
    <row r="285" spans="1:2" x14ac:dyDescent="0.25">
      <c r="A285" t="str">
        <f>IF(B285&gt;0, Recipe!$H$9, "")</f>
        <v/>
      </c>
      <c r="B285">
        <f>UserH20Profiles!A86</f>
        <v>0</v>
      </c>
    </row>
    <row r="286" spans="1:2" x14ac:dyDescent="0.25">
      <c r="A286" t="str">
        <f>IF(B286&gt;0, Recipe!$H$9, "")</f>
        <v/>
      </c>
      <c r="B286">
        <f>UserH20Profiles!A87</f>
        <v>0</v>
      </c>
    </row>
    <row r="287" spans="1:2" x14ac:dyDescent="0.25">
      <c r="A287" t="str">
        <f>IF(B287&gt;0, Recipe!$H$9, "")</f>
        <v/>
      </c>
      <c r="B287">
        <f>UserH20Profiles!A88</f>
        <v>0</v>
      </c>
    </row>
    <row r="288" spans="1:2" x14ac:dyDescent="0.25">
      <c r="A288" t="str">
        <f>IF(B288&gt;0, Recipe!$H$9, "")</f>
        <v/>
      </c>
      <c r="B288">
        <f>UserH20Profiles!A89</f>
        <v>0</v>
      </c>
    </row>
    <row r="289" spans="1:2" x14ac:dyDescent="0.25">
      <c r="A289" t="str">
        <f>IF(B289&gt;0, Recipe!$H$9, "")</f>
        <v/>
      </c>
      <c r="B289">
        <f>UserH20Profiles!A90</f>
        <v>0</v>
      </c>
    </row>
    <row r="290" spans="1:2" x14ac:dyDescent="0.25">
      <c r="A290" t="str">
        <f>IF(B290&gt;0, Recipe!$H$9, "")</f>
        <v/>
      </c>
      <c r="B290">
        <f>UserH20Profiles!A91</f>
        <v>0</v>
      </c>
    </row>
    <row r="291" spans="1:2" x14ac:dyDescent="0.25">
      <c r="A291" t="str">
        <f>IF(B291&gt;0, Recipe!$H$9, "")</f>
        <v/>
      </c>
      <c r="B291">
        <f>UserH20Profiles!A92</f>
        <v>0</v>
      </c>
    </row>
    <row r="292" spans="1:2" x14ac:dyDescent="0.25">
      <c r="A292" t="str">
        <f>IF(B292&gt;0, Recipe!$H$9, "")</f>
        <v/>
      </c>
      <c r="B292">
        <f>UserH20Profiles!A93</f>
        <v>0</v>
      </c>
    </row>
    <row r="293" spans="1:2" x14ac:dyDescent="0.25">
      <c r="A293" t="str">
        <f>IF(B293&gt;0, Recipe!$H$9, "")</f>
        <v/>
      </c>
      <c r="B293">
        <f>UserH20Profiles!A94</f>
        <v>0</v>
      </c>
    </row>
    <row r="294" spans="1:2" x14ac:dyDescent="0.25">
      <c r="A294" t="str">
        <f>IF(B294&gt;0, Recipe!$H$9, "")</f>
        <v/>
      </c>
      <c r="B294">
        <f>UserH20Profiles!A95</f>
        <v>0</v>
      </c>
    </row>
    <row r="295" spans="1:2" x14ac:dyDescent="0.25">
      <c r="A295" t="str">
        <f>IF(B295&gt;0, Recipe!$H$9, "")</f>
        <v/>
      </c>
      <c r="B295">
        <f>UserH20Profiles!A96</f>
        <v>0</v>
      </c>
    </row>
    <row r="296" spans="1:2" x14ac:dyDescent="0.25">
      <c r="A296" t="str">
        <f>IF(B296&gt;0, Recipe!$H$9, "")</f>
        <v/>
      </c>
      <c r="B296">
        <f>UserH20Profiles!A97</f>
        <v>0</v>
      </c>
    </row>
    <row r="297" spans="1:2" x14ac:dyDescent="0.25">
      <c r="A297" t="str">
        <f>IF(B297&gt;0, Recipe!$H$9, "")</f>
        <v/>
      </c>
      <c r="B297">
        <f>UserH20Profiles!A98</f>
        <v>0</v>
      </c>
    </row>
    <row r="298" spans="1:2" x14ac:dyDescent="0.25">
      <c r="A298" t="str">
        <f>IF(B298&gt;0, Recipe!$H$9, "")</f>
        <v/>
      </c>
      <c r="B298">
        <f>UserH20Profiles!A99</f>
        <v>0</v>
      </c>
    </row>
    <row r="299" spans="1:2" x14ac:dyDescent="0.25">
      <c r="A299" t="str">
        <f>IF(B299&gt;0, Recipe!$H$9, "")</f>
        <v/>
      </c>
      <c r="B299">
        <f>UserH20Profiles!A100</f>
        <v>0</v>
      </c>
    </row>
    <row r="300" spans="1:2" x14ac:dyDescent="0.25">
      <c r="A300" t="str">
        <f>IF(B300&gt;0, Recipe!$H$9, "")</f>
        <v/>
      </c>
      <c r="B300">
        <f>UserH20Profiles!A101</f>
        <v>0</v>
      </c>
    </row>
  </sheetData>
  <sheetProtection password="CB17" sheet="1"/>
  <pageMargins left="0.7" right="0.7" top="0.75" bottom="0.75" header="0.3" footer="0.3"/>
  <pageSetup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tabColor theme="0" tint="-0.249977111117893"/>
  </sheetPr>
  <dimension ref="A1:O101"/>
  <sheetViews>
    <sheetView showGridLines="0" workbookViewId="0">
      <pane ySplit="1" topLeftCell="A2" activePane="bottomLeft" state="frozen"/>
      <selection activeCell="J22" sqref="J22"/>
      <selection pane="bottomLeft" activeCell="A36" sqref="A36"/>
    </sheetView>
  </sheetViews>
  <sheetFormatPr defaultRowHeight="15" x14ac:dyDescent="0.25"/>
  <cols>
    <col min="1" max="1" width="65.7109375" customWidth="1"/>
    <col min="7" max="7" width="10.28515625" customWidth="1"/>
  </cols>
  <sheetData>
    <row r="1" spans="1:8" ht="18" x14ac:dyDescent="0.35">
      <c r="A1" s="11" t="s">
        <v>928</v>
      </c>
      <c r="B1" s="11" t="s">
        <v>929</v>
      </c>
      <c r="C1" s="11" t="s">
        <v>930</v>
      </c>
      <c r="D1" s="11" t="s">
        <v>931</v>
      </c>
      <c r="E1" s="11" t="s">
        <v>932</v>
      </c>
      <c r="F1" s="11" t="s">
        <v>935</v>
      </c>
      <c r="G1" s="11" t="s">
        <v>934</v>
      </c>
    </row>
    <row r="2" spans="1:8" x14ac:dyDescent="0.25">
      <c r="A2" s="394" t="s">
        <v>1425</v>
      </c>
      <c r="B2" s="434" t="s">
        <v>1433</v>
      </c>
      <c r="C2" s="434"/>
      <c r="D2" s="434"/>
      <c r="E2" s="434" t="s">
        <v>1430</v>
      </c>
      <c r="F2" s="434" t="s">
        <v>1437</v>
      </c>
      <c r="G2" s="434"/>
      <c r="H2" t="s">
        <v>941</v>
      </c>
    </row>
    <row r="3" spans="1:8" x14ac:dyDescent="0.25">
      <c r="A3" s="394" t="s">
        <v>1426</v>
      </c>
      <c r="B3" s="434" t="s">
        <v>1432</v>
      </c>
      <c r="C3" s="434"/>
      <c r="D3" s="434"/>
      <c r="E3" s="434" t="s">
        <v>1433</v>
      </c>
      <c r="F3" s="434" t="s">
        <v>1433</v>
      </c>
      <c r="G3" s="434"/>
    </row>
    <row r="4" spans="1:8" x14ac:dyDescent="0.25">
      <c r="A4" s="394" t="s">
        <v>1416</v>
      </c>
      <c r="B4" s="434" t="s">
        <v>1432</v>
      </c>
      <c r="C4" s="434"/>
      <c r="D4" s="434"/>
      <c r="E4" s="434" t="s">
        <v>1430</v>
      </c>
      <c r="F4" s="434" t="s">
        <v>1433</v>
      </c>
      <c r="G4" s="434"/>
    </row>
    <row r="5" spans="1:8" x14ac:dyDescent="0.25">
      <c r="A5" s="394" t="s">
        <v>1417</v>
      </c>
      <c r="B5" s="434" t="s">
        <v>1432</v>
      </c>
      <c r="C5" s="434"/>
      <c r="D5" s="434"/>
      <c r="E5" s="434" t="s">
        <v>1433</v>
      </c>
      <c r="F5" s="434" t="s">
        <v>1431</v>
      </c>
      <c r="G5" s="434"/>
    </row>
    <row r="6" spans="1:8" x14ac:dyDescent="0.25">
      <c r="A6" s="394" t="s">
        <v>1424</v>
      </c>
      <c r="B6" s="434" t="s">
        <v>1433</v>
      </c>
      <c r="C6" s="434"/>
      <c r="D6" s="434"/>
      <c r="E6" s="434" t="s">
        <v>1434</v>
      </c>
      <c r="F6" s="434" t="s">
        <v>1436</v>
      </c>
      <c r="G6" s="434"/>
    </row>
    <row r="7" spans="1:8" x14ac:dyDescent="0.25">
      <c r="A7" s="394" t="s">
        <v>1429</v>
      </c>
      <c r="B7" s="434" t="s">
        <v>1432</v>
      </c>
      <c r="C7" s="434"/>
      <c r="D7" s="434"/>
      <c r="E7" s="434" t="s">
        <v>1433</v>
      </c>
      <c r="F7" s="434" t="s">
        <v>1433</v>
      </c>
      <c r="G7" s="434"/>
    </row>
    <row r="8" spans="1:8" x14ac:dyDescent="0.25">
      <c r="A8" s="394" t="s">
        <v>1427</v>
      </c>
      <c r="B8" s="434" t="s">
        <v>1430</v>
      </c>
      <c r="C8" s="434"/>
      <c r="D8" s="434"/>
      <c r="E8" s="434" t="s">
        <v>1430</v>
      </c>
      <c r="F8" s="434" t="s">
        <v>1430</v>
      </c>
      <c r="G8" s="434"/>
    </row>
    <row r="9" spans="1:8" x14ac:dyDescent="0.25">
      <c r="A9" s="394" t="s">
        <v>1420</v>
      </c>
      <c r="B9" s="434" t="s">
        <v>1430</v>
      </c>
      <c r="C9" s="434"/>
      <c r="D9" s="434"/>
      <c r="E9" s="434" t="s">
        <v>1430</v>
      </c>
      <c r="F9" s="434" t="s">
        <v>1435</v>
      </c>
      <c r="G9" s="434"/>
    </row>
    <row r="10" spans="1:8" x14ac:dyDescent="0.25">
      <c r="A10" s="394" t="s">
        <v>1419</v>
      </c>
      <c r="B10" s="434" t="s">
        <v>1430</v>
      </c>
      <c r="C10" s="434"/>
      <c r="D10" s="434"/>
      <c r="E10" s="434" t="s">
        <v>1430</v>
      </c>
      <c r="F10" s="434" t="s">
        <v>1434</v>
      </c>
      <c r="G10" s="434"/>
    </row>
    <row r="11" spans="1:8" x14ac:dyDescent="0.25">
      <c r="A11" s="394" t="s">
        <v>1407</v>
      </c>
      <c r="B11" s="434">
        <v>37</v>
      </c>
      <c r="C11" s="434">
        <v>4</v>
      </c>
      <c r="D11" s="434">
        <v>12</v>
      </c>
      <c r="E11" s="434">
        <v>19</v>
      </c>
      <c r="F11" s="434">
        <v>55</v>
      </c>
      <c r="G11" s="434">
        <v>60</v>
      </c>
    </row>
    <row r="12" spans="1:8" x14ac:dyDescent="0.25">
      <c r="A12" s="394" t="s">
        <v>1408</v>
      </c>
      <c r="B12" s="434">
        <v>140</v>
      </c>
      <c r="C12" s="434">
        <v>18</v>
      </c>
      <c r="D12" s="434">
        <v>25</v>
      </c>
      <c r="E12" s="434">
        <v>55</v>
      </c>
      <c r="F12" s="434">
        <v>300</v>
      </c>
      <c r="G12" s="434">
        <v>110</v>
      </c>
    </row>
    <row r="13" spans="1:8" x14ac:dyDescent="0.25">
      <c r="A13" s="394" t="s">
        <v>1448</v>
      </c>
      <c r="B13" s="434">
        <v>295</v>
      </c>
      <c r="C13" s="434">
        <v>45</v>
      </c>
      <c r="D13" s="434">
        <v>55</v>
      </c>
      <c r="E13" s="434">
        <v>25</v>
      </c>
      <c r="F13" s="434">
        <v>725</v>
      </c>
      <c r="G13" s="434">
        <v>300</v>
      </c>
    </row>
    <row r="14" spans="1:8" x14ac:dyDescent="0.25">
      <c r="A14" s="394" t="s">
        <v>1414</v>
      </c>
      <c r="B14" s="434">
        <v>80</v>
      </c>
      <c r="C14" s="434">
        <v>10</v>
      </c>
      <c r="D14" s="434">
        <v>26</v>
      </c>
      <c r="E14" s="434">
        <v>33</v>
      </c>
      <c r="F14" s="434">
        <v>16</v>
      </c>
      <c r="G14" s="434">
        <v>165</v>
      </c>
    </row>
    <row r="15" spans="1:8" x14ac:dyDescent="0.25">
      <c r="A15" s="394" t="s">
        <v>1447</v>
      </c>
      <c r="B15" s="434">
        <v>100</v>
      </c>
      <c r="C15" s="434">
        <v>18</v>
      </c>
      <c r="D15" s="434">
        <v>20</v>
      </c>
      <c r="E15" s="434">
        <v>45</v>
      </c>
      <c r="F15" s="434">
        <v>105</v>
      </c>
      <c r="G15" s="434">
        <v>270</v>
      </c>
    </row>
    <row r="16" spans="1:8" x14ac:dyDescent="0.25">
      <c r="A16" s="394" t="s">
        <v>1422</v>
      </c>
      <c r="B16" s="434" t="s">
        <v>1432</v>
      </c>
      <c r="C16" s="434"/>
      <c r="D16" s="434"/>
      <c r="E16" s="434" t="s">
        <v>1430</v>
      </c>
      <c r="F16" s="434" t="s">
        <v>1433</v>
      </c>
      <c r="G16" s="434"/>
    </row>
    <row r="17" spans="1:15" x14ac:dyDescent="0.25">
      <c r="A17" s="394" t="s">
        <v>1405</v>
      </c>
      <c r="B17" s="434">
        <v>16.600000000000001</v>
      </c>
      <c r="C17" s="434">
        <v>1.6</v>
      </c>
      <c r="D17" s="434">
        <v>3.2</v>
      </c>
      <c r="E17" s="434">
        <v>2.5</v>
      </c>
      <c r="F17" s="434">
        <v>12</v>
      </c>
      <c r="G17" s="434">
        <v>43</v>
      </c>
    </row>
    <row r="18" spans="1:15" x14ac:dyDescent="0.25">
      <c r="A18" s="394" t="s">
        <v>1413</v>
      </c>
      <c r="B18" s="434">
        <v>59</v>
      </c>
      <c r="C18" s="434">
        <v>8</v>
      </c>
      <c r="D18" s="434">
        <v>0</v>
      </c>
      <c r="E18" s="434">
        <v>63</v>
      </c>
      <c r="F18" s="434">
        <v>89</v>
      </c>
      <c r="G18" s="434">
        <v>0</v>
      </c>
    </row>
    <row r="19" spans="1:15" x14ac:dyDescent="0.25">
      <c r="A19" s="394" t="s">
        <v>1418</v>
      </c>
      <c r="B19" s="434" t="s">
        <v>1432</v>
      </c>
      <c r="C19" s="434"/>
      <c r="D19" s="434"/>
      <c r="E19" s="434" t="s">
        <v>1433</v>
      </c>
      <c r="F19" s="434" t="s">
        <v>1434</v>
      </c>
      <c r="G19" s="434"/>
    </row>
    <row r="20" spans="1:15" x14ac:dyDescent="0.25">
      <c r="A20" s="394" t="s">
        <v>1404</v>
      </c>
      <c r="B20" s="434" t="s">
        <v>1438</v>
      </c>
      <c r="C20" s="434"/>
      <c r="D20" s="434"/>
      <c r="E20" s="433" t="s">
        <v>1439</v>
      </c>
      <c r="F20" s="433" t="s">
        <v>1440</v>
      </c>
      <c r="G20" s="434"/>
    </row>
    <row r="21" spans="1:15" x14ac:dyDescent="0.25">
      <c r="A21" s="394" t="s">
        <v>1415</v>
      </c>
      <c r="B21" s="434">
        <v>50</v>
      </c>
      <c r="C21" s="434"/>
      <c r="D21" s="434"/>
      <c r="E21" s="434" t="s">
        <v>1430</v>
      </c>
      <c r="F21" s="434" t="s">
        <v>1431</v>
      </c>
      <c r="G21" s="434"/>
    </row>
    <row r="22" spans="1:15" x14ac:dyDescent="0.25">
      <c r="A22" s="394" t="s">
        <v>1449</v>
      </c>
      <c r="B22" s="434">
        <v>270</v>
      </c>
      <c r="C22" s="434">
        <v>41</v>
      </c>
      <c r="D22" s="434">
        <v>113</v>
      </c>
      <c r="E22" s="434">
        <v>85</v>
      </c>
      <c r="F22" s="434">
        <v>720</v>
      </c>
      <c r="G22" s="434">
        <v>270</v>
      </c>
      <c r="J22" s="458"/>
      <c r="K22" s="458"/>
      <c r="L22" s="458"/>
      <c r="M22" s="458"/>
      <c r="N22" s="458"/>
      <c r="O22" s="458"/>
    </row>
    <row r="23" spans="1:15" x14ac:dyDescent="0.25">
      <c r="A23" s="394" t="s">
        <v>1421</v>
      </c>
      <c r="B23" s="434" t="s">
        <v>1433</v>
      </c>
      <c r="C23" s="434"/>
      <c r="D23" s="434"/>
      <c r="E23" s="434" t="s">
        <v>1430</v>
      </c>
      <c r="F23" s="434" t="s">
        <v>1435</v>
      </c>
      <c r="G23" s="434"/>
      <c r="J23" s="458"/>
      <c r="K23" s="458"/>
      <c r="L23" s="458"/>
      <c r="M23" s="458"/>
      <c r="N23" s="458"/>
      <c r="O23" s="458"/>
    </row>
    <row r="24" spans="1:15" x14ac:dyDescent="0.25">
      <c r="A24" s="394" t="s">
        <v>1411</v>
      </c>
      <c r="B24" s="434">
        <v>22</v>
      </c>
      <c r="C24" s="434">
        <v>8</v>
      </c>
      <c r="D24" s="434">
        <v>0</v>
      </c>
      <c r="E24" s="434">
        <v>39</v>
      </c>
      <c r="F24" s="434">
        <v>31</v>
      </c>
      <c r="G24" s="434">
        <v>0</v>
      </c>
      <c r="J24" s="458"/>
      <c r="K24" s="458"/>
      <c r="L24" s="458"/>
      <c r="M24" s="458"/>
      <c r="N24" s="458"/>
      <c r="O24" s="458"/>
    </row>
    <row r="25" spans="1:15" x14ac:dyDescent="0.25">
      <c r="A25" s="394" t="s">
        <v>1412</v>
      </c>
      <c r="B25" s="434">
        <v>15</v>
      </c>
      <c r="C25" s="434">
        <v>10</v>
      </c>
      <c r="D25" s="434">
        <v>0</v>
      </c>
      <c r="E25" s="434">
        <v>17</v>
      </c>
      <c r="F25" s="434">
        <v>17</v>
      </c>
      <c r="G25" s="434">
        <v>46</v>
      </c>
      <c r="J25" s="458"/>
      <c r="K25" s="458"/>
      <c r="L25" s="458"/>
      <c r="M25" s="458"/>
      <c r="N25" s="458"/>
      <c r="O25" s="458"/>
    </row>
    <row r="26" spans="1:15" x14ac:dyDescent="0.25">
      <c r="A26" s="394" t="s">
        <v>1406</v>
      </c>
      <c r="B26" s="434">
        <v>63</v>
      </c>
      <c r="C26" s="434">
        <v>0</v>
      </c>
      <c r="D26" s="434">
        <v>15</v>
      </c>
      <c r="E26" s="434">
        <v>64</v>
      </c>
      <c r="F26" s="434">
        <v>77</v>
      </c>
      <c r="G26" s="434">
        <v>50</v>
      </c>
      <c r="J26" s="458"/>
      <c r="K26" s="458"/>
      <c r="L26" s="458"/>
      <c r="M26" s="458"/>
      <c r="N26" s="458"/>
      <c r="O26" s="458"/>
    </row>
    <row r="27" spans="1:15" x14ac:dyDescent="0.25">
      <c r="A27" s="394" t="s">
        <v>1409</v>
      </c>
      <c r="B27" s="434">
        <v>16</v>
      </c>
      <c r="C27" s="434">
        <v>10</v>
      </c>
      <c r="D27" s="434">
        <v>5</v>
      </c>
      <c r="E27" s="434">
        <v>10</v>
      </c>
      <c r="F27" s="434">
        <v>18</v>
      </c>
      <c r="G27" s="434">
        <v>75</v>
      </c>
      <c r="J27" s="458"/>
      <c r="K27" s="458"/>
      <c r="L27" s="458"/>
      <c r="M27" s="458"/>
      <c r="N27" s="458"/>
      <c r="O27" s="458"/>
    </row>
    <row r="28" spans="1:15" x14ac:dyDescent="0.25">
      <c r="A28" s="394" t="s">
        <v>1428</v>
      </c>
      <c r="B28" s="434" t="s">
        <v>1430</v>
      </c>
      <c r="C28" s="434"/>
      <c r="D28" s="434"/>
      <c r="E28" s="434" t="s">
        <v>1433</v>
      </c>
      <c r="F28" s="434" t="s">
        <v>1430</v>
      </c>
      <c r="G28" s="434"/>
      <c r="J28" s="458"/>
      <c r="K28" s="458"/>
      <c r="L28" s="458"/>
      <c r="M28" s="458"/>
      <c r="N28" s="458"/>
      <c r="O28" s="458"/>
    </row>
    <row r="29" spans="1:15" x14ac:dyDescent="0.25">
      <c r="A29" s="394" t="s">
        <v>1410</v>
      </c>
      <c r="B29" s="434">
        <v>40</v>
      </c>
      <c r="C29" s="434">
        <v>5</v>
      </c>
      <c r="D29" s="434">
        <v>30</v>
      </c>
      <c r="E29" s="434">
        <v>70</v>
      </c>
      <c r="F29" s="434">
        <v>40</v>
      </c>
      <c r="G29" s="434">
        <v>60</v>
      </c>
      <c r="J29" s="458"/>
      <c r="K29" s="458"/>
      <c r="L29" s="458"/>
      <c r="M29" s="458"/>
      <c r="N29" s="458"/>
      <c r="O29" s="458"/>
    </row>
    <row r="30" spans="1:15" x14ac:dyDescent="0.25">
      <c r="A30" s="394" t="s">
        <v>1451</v>
      </c>
      <c r="B30" s="434" t="s">
        <v>1432</v>
      </c>
      <c r="C30" s="434"/>
      <c r="D30" s="434"/>
      <c r="E30" s="434" t="s">
        <v>1433</v>
      </c>
      <c r="F30" s="434" t="s">
        <v>1434</v>
      </c>
      <c r="G30" s="434"/>
      <c r="J30" s="458"/>
      <c r="K30" s="458"/>
      <c r="L30" s="458"/>
      <c r="M30" s="458"/>
      <c r="N30" s="458"/>
      <c r="O30" s="458"/>
    </row>
    <row r="31" spans="1:15" x14ac:dyDescent="0.25">
      <c r="A31" s="394" t="s">
        <v>1423</v>
      </c>
      <c r="B31" s="434" t="s">
        <v>1430</v>
      </c>
      <c r="C31" s="434"/>
      <c r="D31" s="434"/>
      <c r="E31" s="434" t="s">
        <v>1434</v>
      </c>
      <c r="F31" s="434" t="s">
        <v>1431</v>
      </c>
      <c r="G31" s="434"/>
      <c r="J31" s="458"/>
      <c r="K31" s="458"/>
      <c r="L31" s="458"/>
      <c r="M31" s="458"/>
      <c r="N31" s="458"/>
      <c r="O31" s="458"/>
    </row>
    <row r="32" spans="1:15" x14ac:dyDescent="0.25">
      <c r="A32" s="394" t="s">
        <v>1454</v>
      </c>
      <c r="B32" s="434">
        <v>10</v>
      </c>
      <c r="C32" s="434">
        <v>3</v>
      </c>
      <c r="D32" s="434">
        <v>3</v>
      </c>
      <c r="E32" s="434">
        <v>4</v>
      </c>
      <c r="F32" s="434">
        <v>4</v>
      </c>
      <c r="G32" s="434">
        <v>3</v>
      </c>
    </row>
    <row r="33" spans="1:7" x14ac:dyDescent="0.25">
      <c r="A33" s="394" t="s">
        <v>1455</v>
      </c>
      <c r="B33" s="434">
        <v>225</v>
      </c>
      <c r="C33" s="434">
        <v>40</v>
      </c>
      <c r="D33" s="434">
        <v>60</v>
      </c>
      <c r="E33" s="434">
        <v>60</v>
      </c>
      <c r="F33" s="434">
        <v>120</v>
      </c>
      <c r="G33" s="434">
        <v>220</v>
      </c>
    </row>
    <row r="34" spans="1:7" x14ac:dyDescent="0.25">
      <c r="A34" s="394" t="s">
        <v>1456</v>
      </c>
      <c r="B34" s="434">
        <v>163</v>
      </c>
      <c r="C34" s="434">
        <v>68</v>
      </c>
      <c r="D34" s="434">
        <v>8</v>
      </c>
      <c r="E34" s="434">
        <v>39</v>
      </c>
      <c r="F34" s="434">
        <v>216</v>
      </c>
      <c r="G34" s="434">
        <v>243</v>
      </c>
    </row>
    <row r="35" spans="1:7" x14ac:dyDescent="0.25">
      <c r="A35" s="394" t="s">
        <v>1457</v>
      </c>
      <c r="B35" s="434">
        <v>109</v>
      </c>
      <c r="C35" s="434">
        <v>21</v>
      </c>
      <c r="D35" s="434">
        <v>2</v>
      </c>
      <c r="E35" s="434">
        <v>36</v>
      </c>
      <c r="F35" s="434">
        <v>79</v>
      </c>
      <c r="G35" s="434">
        <v>171</v>
      </c>
    </row>
    <row r="36" spans="1:7" x14ac:dyDescent="0.25">
      <c r="A36" s="394" t="s">
        <v>1458</v>
      </c>
      <c r="B36" s="434">
        <v>52</v>
      </c>
      <c r="C36" s="434">
        <v>32</v>
      </c>
      <c r="D36" s="434">
        <v>86</v>
      </c>
      <c r="E36" s="434">
        <v>34</v>
      </c>
      <c r="F36" s="434">
        <v>32</v>
      </c>
      <c r="G36" s="434">
        <v>104</v>
      </c>
    </row>
    <row r="37" spans="1:7" x14ac:dyDescent="0.25">
      <c r="A37" s="394" t="s">
        <v>1459</v>
      </c>
      <c r="B37" s="434">
        <v>100</v>
      </c>
      <c r="C37" s="434">
        <v>18</v>
      </c>
      <c r="D37" s="434">
        <v>20</v>
      </c>
      <c r="E37" s="434">
        <v>45</v>
      </c>
      <c r="F37" s="434">
        <v>105</v>
      </c>
      <c r="G37" s="434">
        <v>160</v>
      </c>
    </row>
    <row r="38" spans="1:7" x14ac:dyDescent="0.25">
      <c r="A38" s="394" t="s">
        <v>1460</v>
      </c>
      <c r="B38" s="434">
        <v>352</v>
      </c>
      <c r="C38" s="434">
        <v>24</v>
      </c>
      <c r="D38" s="434">
        <v>44</v>
      </c>
      <c r="E38" s="434">
        <v>16</v>
      </c>
      <c r="F38" s="434">
        <v>820</v>
      </c>
      <c r="G38" s="434">
        <v>320</v>
      </c>
    </row>
    <row r="39" spans="1:7" x14ac:dyDescent="0.25">
      <c r="A39" s="394" t="s">
        <v>1461</v>
      </c>
      <c r="B39" s="434">
        <v>118</v>
      </c>
      <c r="C39" s="434">
        <v>4</v>
      </c>
      <c r="D39" s="434">
        <v>12</v>
      </c>
      <c r="E39" s="434">
        <v>19</v>
      </c>
      <c r="F39" s="434">
        <v>54</v>
      </c>
      <c r="G39" s="434">
        <v>319</v>
      </c>
    </row>
    <row r="40" spans="1:7" x14ac:dyDescent="0.25">
      <c r="A40" s="394" t="s">
        <v>1462</v>
      </c>
      <c r="B40" s="434">
        <v>130</v>
      </c>
      <c r="C40" s="434">
        <v>20</v>
      </c>
      <c r="D40" s="434">
        <v>12</v>
      </c>
      <c r="E40" s="434">
        <v>31</v>
      </c>
      <c r="F40" s="434">
        <v>80</v>
      </c>
      <c r="G40" s="434"/>
    </row>
    <row r="41" spans="1:7" x14ac:dyDescent="0.25">
      <c r="A41" s="394"/>
      <c r="B41" s="434"/>
      <c r="C41" s="434"/>
      <c r="D41" s="434"/>
      <c r="E41" s="434"/>
      <c r="F41" s="434"/>
      <c r="G41" s="434"/>
    </row>
    <row r="42" spans="1:7" x14ac:dyDescent="0.25">
      <c r="A42" s="394"/>
      <c r="B42" s="434"/>
      <c r="C42" s="434"/>
      <c r="D42" s="434"/>
      <c r="E42" s="434"/>
      <c r="F42" s="434"/>
      <c r="G42" s="434"/>
    </row>
    <row r="43" spans="1:7" x14ac:dyDescent="0.25">
      <c r="A43" s="394"/>
      <c r="B43" s="434"/>
      <c r="C43" s="434"/>
      <c r="D43" s="434"/>
      <c r="E43" s="434"/>
      <c r="F43" s="434"/>
      <c r="G43" s="434"/>
    </row>
    <row r="44" spans="1:7" x14ac:dyDescent="0.25">
      <c r="A44" s="394"/>
      <c r="B44" s="434"/>
      <c r="C44" s="434"/>
      <c r="D44" s="434"/>
      <c r="E44" s="434"/>
      <c r="F44" s="434"/>
      <c r="G44" s="434"/>
    </row>
    <row r="45" spans="1:7" x14ac:dyDescent="0.25">
      <c r="A45" s="394"/>
      <c r="B45" s="434"/>
      <c r="C45" s="434"/>
      <c r="D45" s="434"/>
      <c r="E45" s="434"/>
      <c r="F45" s="434"/>
      <c r="G45" s="434"/>
    </row>
    <row r="46" spans="1:7" x14ac:dyDescent="0.25">
      <c r="A46" s="394"/>
      <c r="B46" s="434"/>
      <c r="C46" s="434"/>
      <c r="D46" s="434"/>
      <c r="E46" s="434"/>
      <c r="F46" s="434"/>
      <c r="G46" s="434"/>
    </row>
    <row r="47" spans="1:7" x14ac:dyDescent="0.25">
      <c r="A47" s="394"/>
      <c r="B47" s="434"/>
      <c r="C47" s="434"/>
      <c r="D47" s="434"/>
      <c r="E47" s="434"/>
      <c r="F47" s="434"/>
      <c r="G47" s="434"/>
    </row>
    <row r="48" spans="1:7" x14ac:dyDescent="0.25">
      <c r="A48" s="394"/>
      <c r="B48" s="434"/>
      <c r="C48" s="434"/>
      <c r="D48" s="434"/>
      <c r="E48" s="434"/>
      <c r="F48" s="434"/>
      <c r="G48" s="434"/>
    </row>
    <row r="49" spans="1:7" x14ac:dyDescent="0.25">
      <c r="A49" s="394"/>
      <c r="B49" s="434"/>
      <c r="C49" s="434"/>
      <c r="D49" s="434"/>
      <c r="E49" s="434"/>
      <c r="F49" s="434"/>
      <c r="G49" s="434"/>
    </row>
    <row r="50" spans="1:7" x14ac:dyDescent="0.25">
      <c r="A50" s="394"/>
      <c r="B50" s="434"/>
      <c r="C50" s="434"/>
      <c r="D50" s="434"/>
      <c r="E50" s="434"/>
      <c r="F50" s="434"/>
      <c r="G50" s="434"/>
    </row>
    <row r="51" spans="1:7" x14ac:dyDescent="0.25">
      <c r="A51" s="394"/>
      <c r="B51" s="434"/>
      <c r="C51" s="434"/>
      <c r="D51" s="434"/>
      <c r="E51" s="434"/>
      <c r="F51" s="434"/>
      <c r="G51" s="434"/>
    </row>
    <row r="52" spans="1:7" x14ac:dyDescent="0.25">
      <c r="A52" s="394"/>
      <c r="B52" s="434"/>
      <c r="C52" s="434"/>
      <c r="D52" s="434"/>
      <c r="E52" s="434"/>
      <c r="F52" s="434"/>
      <c r="G52" s="434"/>
    </row>
    <row r="53" spans="1:7" x14ac:dyDescent="0.25">
      <c r="A53" s="394"/>
      <c r="B53" s="434"/>
      <c r="C53" s="434"/>
      <c r="D53" s="434"/>
      <c r="E53" s="434"/>
      <c r="F53" s="434"/>
      <c r="G53" s="434"/>
    </row>
    <row r="54" spans="1:7" x14ac:dyDescent="0.25">
      <c r="A54" s="394"/>
      <c r="B54" s="434"/>
      <c r="C54" s="434"/>
      <c r="D54" s="434"/>
      <c r="E54" s="434"/>
      <c r="F54" s="434"/>
      <c r="G54" s="434"/>
    </row>
    <row r="55" spans="1:7" x14ac:dyDescent="0.25">
      <c r="A55" s="394"/>
      <c r="B55" s="394"/>
      <c r="C55" s="394"/>
      <c r="D55" s="394"/>
      <c r="E55" s="394"/>
      <c r="F55" s="394"/>
      <c r="G55" s="394"/>
    </row>
    <row r="56" spans="1:7" x14ac:dyDescent="0.25">
      <c r="A56" s="394"/>
      <c r="B56" s="434"/>
      <c r="C56" s="434"/>
      <c r="D56" s="434"/>
      <c r="E56" s="434"/>
      <c r="F56" s="434"/>
      <c r="G56" s="434"/>
    </row>
    <row r="57" spans="1:7" x14ac:dyDescent="0.25">
      <c r="A57" s="394"/>
      <c r="B57" s="434"/>
      <c r="C57" s="434"/>
      <c r="D57" s="434"/>
      <c r="E57" s="434"/>
      <c r="F57" s="434"/>
      <c r="G57" s="434"/>
    </row>
    <row r="58" spans="1:7" x14ac:dyDescent="0.25">
      <c r="A58" s="394"/>
      <c r="B58" s="434"/>
      <c r="C58" s="434"/>
      <c r="D58" s="434"/>
      <c r="E58" s="434"/>
      <c r="F58" s="434"/>
      <c r="G58" s="434"/>
    </row>
    <row r="59" spans="1:7" x14ac:dyDescent="0.25">
      <c r="A59" s="394"/>
      <c r="B59" s="434"/>
      <c r="C59" s="434"/>
      <c r="D59" s="434"/>
      <c r="E59" s="434"/>
      <c r="F59" s="434"/>
      <c r="G59" s="434"/>
    </row>
    <row r="60" spans="1:7" x14ac:dyDescent="0.25">
      <c r="A60" s="394"/>
      <c r="B60" s="434"/>
      <c r="C60" s="434"/>
      <c r="D60" s="434"/>
      <c r="E60" s="434"/>
      <c r="F60" s="434"/>
      <c r="G60" s="434"/>
    </row>
    <row r="61" spans="1:7" x14ac:dyDescent="0.25">
      <c r="A61" s="394"/>
      <c r="B61" s="434"/>
      <c r="C61" s="434"/>
      <c r="D61" s="434"/>
      <c r="E61" s="434"/>
      <c r="F61" s="434"/>
      <c r="G61" s="434"/>
    </row>
    <row r="62" spans="1:7" x14ac:dyDescent="0.25">
      <c r="A62" s="394"/>
      <c r="B62" s="434"/>
      <c r="C62" s="434"/>
      <c r="D62" s="434"/>
      <c r="E62" s="434"/>
      <c r="F62" s="434"/>
      <c r="G62" s="434"/>
    </row>
    <row r="63" spans="1:7" x14ac:dyDescent="0.25">
      <c r="A63" s="394"/>
      <c r="B63" s="394"/>
      <c r="C63" s="394"/>
      <c r="D63" s="394"/>
      <c r="E63" s="394"/>
      <c r="F63" s="394"/>
      <c r="G63" s="394"/>
    </row>
    <row r="64" spans="1:7" x14ac:dyDescent="0.25">
      <c r="A64" s="394"/>
      <c r="B64" s="394"/>
      <c r="C64" s="394"/>
      <c r="D64" s="394"/>
      <c r="E64" s="394"/>
      <c r="F64" s="394"/>
      <c r="G64" s="394"/>
    </row>
    <row r="65" spans="1:7" x14ac:dyDescent="0.25">
      <c r="A65" s="394"/>
      <c r="B65" s="394"/>
      <c r="C65" s="394"/>
      <c r="D65" s="394"/>
      <c r="E65" s="394"/>
      <c r="F65" s="394"/>
      <c r="G65" s="394"/>
    </row>
    <row r="66" spans="1:7" x14ac:dyDescent="0.25">
      <c r="A66" s="394"/>
      <c r="B66" s="394"/>
      <c r="C66" s="394"/>
      <c r="D66" s="394"/>
      <c r="E66" s="394"/>
      <c r="F66" s="394"/>
      <c r="G66" s="394"/>
    </row>
    <row r="67" spans="1:7" x14ac:dyDescent="0.25">
      <c r="A67" s="394"/>
      <c r="B67" s="394"/>
      <c r="C67" s="394"/>
      <c r="D67" s="394"/>
      <c r="E67" s="394"/>
      <c r="F67" s="394"/>
      <c r="G67" s="394"/>
    </row>
    <row r="68" spans="1:7" x14ac:dyDescent="0.25">
      <c r="A68" s="394"/>
      <c r="B68" s="394"/>
      <c r="C68" s="394"/>
      <c r="D68" s="394"/>
      <c r="E68" s="394"/>
      <c r="F68" s="394"/>
      <c r="G68" s="394"/>
    </row>
    <row r="69" spans="1:7" x14ac:dyDescent="0.25">
      <c r="A69" s="394"/>
      <c r="B69" s="394"/>
      <c r="C69" s="394"/>
      <c r="D69" s="394"/>
      <c r="E69" s="394"/>
      <c r="F69" s="394"/>
      <c r="G69" s="394"/>
    </row>
    <row r="70" spans="1:7" x14ac:dyDescent="0.25">
      <c r="A70" s="394"/>
      <c r="B70" s="394"/>
      <c r="C70" s="394"/>
      <c r="D70" s="394"/>
      <c r="E70" s="394"/>
      <c r="F70" s="394"/>
      <c r="G70" s="394"/>
    </row>
    <row r="71" spans="1:7" x14ac:dyDescent="0.25">
      <c r="A71" s="394"/>
      <c r="B71" s="394"/>
      <c r="C71" s="394"/>
      <c r="D71" s="394"/>
      <c r="E71" s="394"/>
      <c r="F71" s="394"/>
      <c r="G71" s="394"/>
    </row>
    <row r="72" spans="1:7" x14ac:dyDescent="0.25">
      <c r="A72" s="394"/>
      <c r="B72" s="394"/>
      <c r="C72" s="394"/>
      <c r="D72" s="394"/>
      <c r="E72" s="394"/>
      <c r="F72" s="394"/>
      <c r="G72" s="394"/>
    </row>
    <row r="73" spans="1:7" x14ac:dyDescent="0.25">
      <c r="A73" s="394"/>
      <c r="B73" s="394"/>
      <c r="C73" s="394"/>
      <c r="D73" s="394"/>
      <c r="E73" s="394"/>
      <c r="F73" s="394"/>
      <c r="G73" s="394"/>
    </row>
    <row r="74" spans="1:7" x14ac:dyDescent="0.25">
      <c r="A74" s="394"/>
      <c r="B74" s="394"/>
      <c r="C74" s="394"/>
      <c r="D74" s="394"/>
      <c r="E74" s="394"/>
      <c r="F74" s="394"/>
      <c r="G74" s="394"/>
    </row>
    <row r="75" spans="1:7" x14ac:dyDescent="0.25">
      <c r="A75" s="394"/>
      <c r="B75" s="394"/>
      <c r="C75" s="394"/>
      <c r="D75" s="394"/>
      <c r="E75" s="394"/>
      <c r="F75" s="394"/>
      <c r="G75" s="394"/>
    </row>
    <row r="76" spans="1:7" x14ac:dyDescent="0.25">
      <c r="A76" s="394"/>
      <c r="B76" s="394"/>
      <c r="C76" s="394"/>
      <c r="D76" s="394"/>
      <c r="E76" s="394"/>
      <c r="F76" s="394"/>
      <c r="G76" s="394"/>
    </row>
    <row r="77" spans="1:7" x14ac:dyDescent="0.25">
      <c r="A77" s="394"/>
      <c r="B77" s="394"/>
      <c r="C77" s="394"/>
      <c r="D77" s="394"/>
      <c r="E77" s="394"/>
      <c r="F77" s="394"/>
      <c r="G77" s="394"/>
    </row>
    <row r="78" spans="1:7" x14ac:dyDescent="0.25">
      <c r="A78" s="394"/>
      <c r="B78" s="394"/>
      <c r="C78" s="394"/>
      <c r="D78" s="394"/>
      <c r="E78" s="394"/>
      <c r="F78" s="394"/>
      <c r="G78" s="394"/>
    </row>
    <row r="79" spans="1:7" x14ac:dyDescent="0.25">
      <c r="A79" s="394"/>
      <c r="B79" s="394"/>
      <c r="C79" s="394"/>
      <c r="D79" s="394"/>
      <c r="E79" s="394"/>
      <c r="F79" s="394"/>
      <c r="G79" s="394"/>
    </row>
    <row r="80" spans="1:7" x14ac:dyDescent="0.25">
      <c r="A80" s="394"/>
      <c r="B80" s="394"/>
      <c r="C80" s="394"/>
      <c r="D80" s="394"/>
      <c r="E80" s="394"/>
      <c r="F80" s="394"/>
      <c r="G80" s="394"/>
    </row>
    <row r="81" spans="1:7" x14ac:dyDescent="0.25">
      <c r="A81" s="394"/>
      <c r="B81" s="394"/>
      <c r="C81" s="394"/>
      <c r="D81" s="394"/>
      <c r="E81" s="394"/>
      <c r="F81" s="394"/>
      <c r="G81" s="394"/>
    </row>
    <row r="82" spans="1:7" x14ac:dyDescent="0.25">
      <c r="A82" s="394"/>
      <c r="B82" s="394"/>
      <c r="C82" s="394"/>
      <c r="D82" s="394"/>
      <c r="E82" s="394"/>
      <c r="F82" s="394"/>
      <c r="G82" s="394"/>
    </row>
    <row r="83" spans="1:7" x14ac:dyDescent="0.25">
      <c r="A83" s="394"/>
      <c r="B83" s="394"/>
      <c r="C83" s="394"/>
      <c r="D83" s="394"/>
      <c r="E83" s="394"/>
      <c r="F83" s="394"/>
      <c r="G83" s="394"/>
    </row>
    <row r="84" spans="1:7" x14ac:dyDescent="0.25">
      <c r="A84" s="394"/>
      <c r="B84" s="394"/>
      <c r="C84" s="394"/>
      <c r="D84" s="394"/>
      <c r="E84" s="394"/>
      <c r="F84" s="394"/>
      <c r="G84" s="394"/>
    </row>
    <row r="85" spans="1:7" x14ac:dyDescent="0.25">
      <c r="A85" s="394"/>
      <c r="B85" s="394"/>
      <c r="C85" s="394"/>
      <c r="D85" s="394"/>
      <c r="E85" s="394"/>
      <c r="F85" s="394"/>
      <c r="G85" s="394"/>
    </row>
    <row r="86" spans="1:7" x14ac:dyDescent="0.25">
      <c r="A86" s="394"/>
      <c r="B86" s="394"/>
      <c r="C86" s="394"/>
      <c r="D86" s="394"/>
      <c r="E86" s="394"/>
      <c r="F86" s="394"/>
      <c r="G86" s="394"/>
    </row>
    <row r="87" spans="1:7" x14ac:dyDescent="0.25">
      <c r="A87" s="394"/>
      <c r="B87" s="394"/>
      <c r="C87" s="394"/>
      <c r="D87" s="394"/>
      <c r="E87" s="394"/>
      <c r="F87" s="394"/>
      <c r="G87" s="394"/>
    </row>
    <row r="88" spans="1:7" x14ac:dyDescent="0.25">
      <c r="A88" s="394"/>
      <c r="B88" s="394"/>
      <c r="C88" s="394"/>
      <c r="D88" s="394"/>
      <c r="E88" s="394"/>
      <c r="F88" s="394"/>
      <c r="G88" s="394"/>
    </row>
    <row r="89" spans="1:7" x14ac:dyDescent="0.25">
      <c r="A89" s="394"/>
      <c r="B89" s="394"/>
      <c r="C89" s="394"/>
      <c r="D89" s="394"/>
      <c r="E89" s="394"/>
      <c r="F89" s="394"/>
      <c r="G89" s="394"/>
    </row>
    <row r="90" spans="1:7" x14ac:dyDescent="0.25">
      <c r="A90" s="394"/>
      <c r="B90" s="394"/>
      <c r="C90" s="394"/>
      <c r="D90" s="394"/>
      <c r="E90" s="394"/>
      <c r="F90" s="394"/>
      <c r="G90" s="394"/>
    </row>
    <row r="91" spans="1:7" x14ac:dyDescent="0.25">
      <c r="A91" s="394"/>
      <c r="B91" s="394"/>
      <c r="C91" s="394"/>
      <c r="D91" s="394"/>
      <c r="E91" s="394"/>
      <c r="F91" s="394"/>
      <c r="G91" s="394"/>
    </row>
    <row r="92" spans="1:7" x14ac:dyDescent="0.25">
      <c r="A92" s="394"/>
      <c r="B92" s="394"/>
      <c r="C92" s="394"/>
      <c r="D92" s="394"/>
      <c r="E92" s="394"/>
      <c r="F92" s="394"/>
      <c r="G92" s="394"/>
    </row>
    <row r="93" spans="1:7" x14ac:dyDescent="0.25">
      <c r="A93" s="394"/>
      <c r="B93" s="394"/>
      <c r="C93" s="394"/>
      <c r="D93" s="394"/>
      <c r="E93" s="394"/>
      <c r="F93" s="394"/>
      <c r="G93" s="394"/>
    </row>
    <row r="94" spans="1:7" x14ac:dyDescent="0.25">
      <c r="A94" s="394"/>
      <c r="B94" s="394"/>
      <c r="C94" s="394"/>
      <c r="D94" s="394"/>
      <c r="E94" s="394"/>
      <c r="F94" s="394"/>
      <c r="G94" s="394"/>
    </row>
    <row r="95" spans="1:7" x14ac:dyDescent="0.25">
      <c r="A95" s="394"/>
      <c r="B95" s="394"/>
      <c r="C95" s="394"/>
      <c r="D95" s="394"/>
      <c r="E95" s="394"/>
      <c r="F95" s="394"/>
      <c r="G95" s="394"/>
    </row>
    <row r="96" spans="1:7" x14ac:dyDescent="0.25">
      <c r="A96" s="394"/>
      <c r="B96" s="394"/>
      <c r="C96" s="394"/>
      <c r="D96" s="394"/>
      <c r="E96" s="394"/>
      <c r="F96" s="394"/>
      <c r="G96" s="394"/>
    </row>
    <row r="97" spans="1:7" x14ac:dyDescent="0.25">
      <c r="A97" s="394"/>
      <c r="B97" s="394"/>
      <c r="C97" s="394"/>
      <c r="D97" s="394"/>
      <c r="E97" s="394"/>
      <c r="F97" s="394"/>
      <c r="G97" s="394"/>
    </row>
    <row r="98" spans="1:7" x14ac:dyDescent="0.25">
      <c r="A98" s="394"/>
      <c r="B98" s="394"/>
      <c r="C98" s="394"/>
      <c r="D98" s="394"/>
      <c r="E98" s="394"/>
      <c r="F98" s="394"/>
      <c r="G98" s="394"/>
    </row>
    <row r="99" spans="1:7" x14ac:dyDescent="0.25">
      <c r="A99" s="394"/>
      <c r="B99" s="394"/>
      <c r="C99" s="394"/>
      <c r="D99" s="394"/>
      <c r="E99" s="394"/>
      <c r="F99" s="394"/>
      <c r="G99" s="394"/>
    </row>
    <row r="100" spans="1:7" x14ac:dyDescent="0.25">
      <c r="A100" s="394"/>
      <c r="B100" s="394"/>
      <c r="C100" s="394"/>
      <c r="D100" s="394"/>
      <c r="E100" s="394"/>
      <c r="F100" s="394"/>
      <c r="G100" s="394"/>
    </row>
    <row r="101" spans="1:7" x14ac:dyDescent="0.25">
      <c r="A101" s="394"/>
      <c r="B101" s="394"/>
      <c r="C101" s="394"/>
      <c r="D101" s="394"/>
      <c r="E101" s="394"/>
      <c r="F101" s="394"/>
      <c r="G101" s="394"/>
    </row>
  </sheetData>
  <sortState ref="A2:G41">
    <sortCondition ref="A2:A41"/>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22</vt:i4>
      </vt:variant>
    </vt:vector>
  </HeadingPairs>
  <TitlesOfParts>
    <vt:vector size="50" baseType="lpstr">
      <vt:lpstr>Introduction</vt:lpstr>
      <vt:lpstr>Brewhouse</vt:lpstr>
      <vt:lpstr>Recipe</vt:lpstr>
      <vt:lpstr>Water</vt:lpstr>
      <vt:lpstr>Refractometer</vt:lpstr>
      <vt:lpstr>SG Correction</vt:lpstr>
      <vt:lpstr>BrewDay Print Me</vt:lpstr>
      <vt:lpstr>Carbonation</vt:lpstr>
      <vt:lpstr>Mash Efficiency Predictor</vt:lpstr>
      <vt:lpstr>NotePad</vt:lpstr>
      <vt:lpstr>GRAINLOOKUP</vt:lpstr>
      <vt:lpstr>HOPLOOKUP</vt:lpstr>
      <vt:lpstr>YEASTLOOKUP</vt:lpstr>
      <vt:lpstr>GravCalcs</vt:lpstr>
      <vt:lpstr>Total H2O Sub</vt:lpstr>
      <vt:lpstr>HopCalc</vt:lpstr>
      <vt:lpstr>H20 Temps Sub</vt:lpstr>
      <vt:lpstr>O2andLagerCalc</vt:lpstr>
      <vt:lpstr>STYLES</vt:lpstr>
      <vt:lpstr>Mash_Chem</vt:lpstr>
      <vt:lpstr>Kettle_Chem</vt:lpstr>
      <vt:lpstr>H2ORecCross</vt:lpstr>
      <vt:lpstr>H2ORecScratch</vt:lpstr>
      <vt:lpstr>H2ORecs</vt:lpstr>
      <vt:lpstr>Yeast</vt:lpstr>
      <vt:lpstr>Sparge_Acidification</vt:lpstr>
      <vt:lpstr>H20RecCross2</vt:lpstr>
      <vt:lpstr>UserH20Profiles</vt:lpstr>
      <vt:lpstr>Drange</vt:lpstr>
      <vt:lpstr>Grange</vt:lpstr>
      <vt:lpstr>Hrange</vt:lpstr>
      <vt:lpstr>Irange</vt:lpstr>
      <vt:lpstr>Lrange</vt:lpstr>
      <vt:lpstr>MashTempLookup</vt:lpstr>
      <vt:lpstr>MashTime</vt:lpstr>
      <vt:lpstr>Mrange</vt:lpstr>
      <vt:lpstr>'BrewDay Print Me'!Print_Area</vt:lpstr>
      <vt:lpstr>QRange</vt:lpstr>
      <vt:lpstr>SpargeType</vt:lpstr>
      <vt:lpstr>Srange</vt:lpstr>
      <vt:lpstr>ValidCross</vt:lpstr>
      <vt:lpstr>ValidGrains</vt:lpstr>
      <vt:lpstr>ValidHops</vt:lpstr>
      <vt:lpstr>ValidLines</vt:lpstr>
      <vt:lpstr>ValidMashTimes</vt:lpstr>
      <vt:lpstr>ValidStyles</vt:lpstr>
      <vt:lpstr>ValidWaters</vt:lpstr>
      <vt:lpstr>ValidYeast</vt:lpstr>
      <vt:lpstr>ViabilityOverrideDropdown</vt:lpstr>
      <vt:lpstr>Yrange</vt:lpstr>
    </vt:vector>
  </TitlesOfParts>
  <Company>NMCI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VikeMan</dc:creator>
  <cp:lastModifiedBy>MB</cp:lastModifiedBy>
  <cp:lastPrinted>2018-04-11T17:10:15Z</cp:lastPrinted>
  <dcterms:created xsi:type="dcterms:W3CDTF">2013-05-30T13:33:30Z</dcterms:created>
  <dcterms:modified xsi:type="dcterms:W3CDTF">2018-04-14T16:33:53Z</dcterms:modified>
</cp:coreProperties>
</file>